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M\องศา\New EA\"/>
    </mc:Choice>
  </mc:AlternateContent>
  <xr:revisionPtr revIDLastSave="0" documentId="13_ncr:1_{B9E9CADB-1EA2-4D59-AB1A-931E8D9AEB48}" xr6:coauthVersionLast="47" xr6:coauthVersionMax="47" xr10:uidLastSave="{00000000-0000-0000-0000-000000000000}"/>
  <bookViews>
    <workbookView xWindow="28680" yWindow="-120" windowWidth="38640" windowHeight="15720" xr2:uid="{26274DE6-5665-43F5-80D3-CA2C10ED789E}"/>
  </bookViews>
  <sheets>
    <sheet name="ลูกหนี้ในการบริหารสินเชื่อ" sheetId="1" r:id="rId1"/>
    <sheet name="วงเงินลูกค้า Co-Lending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2" l="1"/>
  <c r="S14" i="2"/>
  <c r="H14" i="2"/>
  <c r="Q13" i="2"/>
  <c r="Q14" i="2" s="1"/>
  <c r="P13" i="2"/>
  <c r="P14" i="2" s="1"/>
  <c r="R60" i="1"/>
  <c r="AQ54" i="1"/>
  <c r="AG54" i="1"/>
  <c r="AF54" i="1"/>
  <c r="AO53" i="1"/>
  <c r="AN53" i="1"/>
  <c r="AM53" i="1"/>
  <c r="AL53" i="1"/>
  <c r="AJ53" i="1"/>
  <c r="AI53" i="1"/>
  <c r="AG53" i="1"/>
  <c r="W53" i="1"/>
  <c r="Z53" i="1" s="1"/>
  <c r="T53" i="1"/>
  <c r="S53" i="1"/>
  <c r="AH53" i="1" s="1"/>
  <c r="N53" i="1"/>
  <c r="X53" i="1" s="1"/>
  <c r="Y53" i="1" s="1"/>
  <c r="AO52" i="1"/>
  <c r="AN52" i="1"/>
  <c r="AM52" i="1"/>
  <c r="AL52" i="1"/>
  <c r="AJ52" i="1"/>
  <c r="AI52" i="1"/>
  <c r="AG52" i="1"/>
  <c r="T52" i="1"/>
  <c r="R52" i="1"/>
  <c r="S52" i="1" s="1"/>
  <c r="N52" i="1"/>
  <c r="X52" i="1" s="1"/>
  <c r="AO51" i="1"/>
  <c r="AN51" i="1"/>
  <c r="AM51" i="1"/>
  <c r="AL51" i="1"/>
  <c r="AJ51" i="1"/>
  <c r="AI51" i="1"/>
  <c r="AH51" i="1"/>
  <c r="AG51" i="1"/>
  <c r="Z51" i="1"/>
  <c r="AK51" i="1" s="1"/>
  <c r="AP51" i="1" s="1"/>
  <c r="AQ51" i="1" s="1"/>
  <c r="Y51" i="1"/>
  <c r="X51" i="1"/>
  <c r="W51" i="1"/>
  <c r="N51" i="1"/>
  <c r="D51" i="1"/>
  <c r="AN50" i="1"/>
  <c r="AM50" i="1"/>
  <c r="AL50" i="1"/>
  <c r="X50" i="1"/>
  <c r="U50" i="1"/>
  <c r="AI50" i="1" s="1"/>
  <c r="Q50" i="1"/>
  <c r="R50" i="1" s="1"/>
  <c r="AG50" i="1" s="1"/>
  <c r="N50" i="1"/>
  <c r="AO49" i="1"/>
  <c r="AN49" i="1"/>
  <c r="AM49" i="1"/>
  <c r="AL49" i="1"/>
  <c r="AK49" i="1"/>
  <c r="AP49" i="1" s="1"/>
  <c r="AQ49" i="1" s="1"/>
  <c r="AJ49" i="1"/>
  <c r="AI49" i="1"/>
  <c r="AH49" i="1"/>
  <c r="AG49" i="1"/>
  <c r="W49" i="1"/>
  <c r="Z49" i="1" s="1"/>
  <c r="AE49" i="1" s="1"/>
  <c r="P49" i="1"/>
  <c r="N49" i="1"/>
  <c r="X49" i="1" s="1"/>
  <c r="Y49" i="1" s="1"/>
  <c r="AO48" i="1"/>
  <c r="AN48" i="1"/>
  <c r="AM48" i="1"/>
  <c r="AI48" i="1"/>
  <c r="AH48" i="1"/>
  <c r="AG48" i="1"/>
  <c r="V48" i="1"/>
  <c r="AJ48" i="1" s="1"/>
  <c r="T48" i="1"/>
  <c r="N48" i="1"/>
  <c r="X48" i="1" s="1"/>
  <c r="AD47" i="1"/>
  <c r="AO47" i="1" s="1"/>
  <c r="AC47" i="1"/>
  <c r="AN47" i="1" s="1"/>
  <c r="AB47" i="1"/>
  <c r="AM47" i="1" s="1"/>
  <c r="AA47" i="1"/>
  <c r="AL47" i="1" s="1"/>
  <c r="V47" i="1"/>
  <c r="AJ47" i="1" s="1"/>
  <c r="T47" i="1"/>
  <c r="R47" i="1"/>
  <c r="N47" i="1"/>
  <c r="X47" i="1" s="1"/>
  <c r="AO46" i="1"/>
  <c r="AG46" i="1"/>
  <c r="AD46" i="1"/>
  <c r="AC46" i="1"/>
  <c r="AN46" i="1" s="1"/>
  <c r="AB46" i="1"/>
  <c r="AM46" i="1" s="1"/>
  <c r="AA46" i="1"/>
  <c r="AL46" i="1" s="1"/>
  <c r="V46" i="1"/>
  <c r="AJ46" i="1" s="1"/>
  <c r="T46" i="1"/>
  <c r="R46" i="1"/>
  <c r="N46" i="1"/>
  <c r="X46" i="1" s="1"/>
  <c r="I46" i="1"/>
  <c r="AO45" i="1"/>
  <c r="AN45" i="1"/>
  <c r="AM45" i="1"/>
  <c r="AL45" i="1"/>
  <c r="AJ45" i="1"/>
  <c r="AI45" i="1"/>
  <c r="AG45" i="1"/>
  <c r="R45" i="1"/>
  <c r="O45" i="1"/>
  <c r="T45" i="1" s="1"/>
  <c r="S45" i="1" s="1"/>
  <c r="W45" i="1" s="1"/>
  <c r="Z45" i="1" s="1"/>
  <c r="AE45" i="1" s="1"/>
  <c r="N45" i="1"/>
  <c r="AO44" i="1"/>
  <c r="AN44" i="1"/>
  <c r="AM44" i="1"/>
  <c r="AL44" i="1"/>
  <c r="AJ44" i="1"/>
  <c r="AI44" i="1"/>
  <c r="Q44" i="1"/>
  <c r="P44" i="1"/>
  <c r="O44" i="1"/>
  <c r="T44" i="1" s="1"/>
  <c r="N44" i="1"/>
  <c r="AO43" i="1"/>
  <c r="AN43" i="1"/>
  <c r="AM43" i="1"/>
  <c r="AL43" i="1"/>
  <c r="AJ43" i="1"/>
  <c r="AI43" i="1"/>
  <c r="T43" i="1"/>
  <c r="Q43" i="1"/>
  <c r="P43" i="1"/>
  <c r="O43" i="1"/>
  <c r="N43" i="1"/>
  <c r="AO42" i="1"/>
  <c r="AN42" i="1"/>
  <c r="AM42" i="1"/>
  <c r="AL42" i="1"/>
  <c r="AJ42" i="1"/>
  <c r="AI42" i="1"/>
  <c r="Q42" i="1"/>
  <c r="P42" i="1"/>
  <c r="O42" i="1"/>
  <c r="T42" i="1" s="1"/>
  <c r="N42" i="1"/>
  <c r="AO41" i="1"/>
  <c r="AN41" i="1"/>
  <c r="AM41" i="1"/>
  <c r="AL41" i="1"/>
  <c r="AJ41" i="1"/>
  <c r="AI41" i="1"/>
  <c r="Q41" i="1"/>
  <c r="P41" i="1"/>
  <c r="O41" i="1"/>
  <c r="T41" i="1" s="1"/>
  <c r="N41" i="1"/>
  <c r="AO40" i="1"/>
  <c r="AN40" i="1"/>
  <c r="AM40" i="1"/>
  <c r="V40" i="1"/>
  <c r="AJ40" i="1" s="1"/>
  <c r="Q40" i="1"/>
  <c r="P40" i="1"/>
  <c r="O40" i="1"/>
  <c r="T40" i="1" s="1"/>
  <c r="L40" i="1"/>
  <c r="N40" i="1" s="1"/>
  <c r="X40" i="1" s="1"/>
  <c r="K40" i="1"/>
  <c r="I40" i="1"/>
  <c r="H40" i="1"/>
  <c r="G40" i="1"/>
  <c r="AO39" i="1"/>
  <c r="AC39" i="1"/>
  <c r="AN39" i="1" s="1"/>
  <c r="AB39" i="1"/>
  <c r="AA39" i="1"/>
  <c r="AL39" i="1" s="1"/>
  <c r="V39" i="1"/>
  <c r="AJ39" i="1" s="1"/>
  <c r="Q39" i="1"/>
  <c r="P39" i="1"/>
  <c r="O39" i="1"/>
  <c r="X39" i="1" s="1"/>
  <c r="H39" i="1"/>
  <c r="G39" i="1"/>
  <c r="AO38" i="1"/>
  <c r="AN38" i="1"/>
  <c r="AB38" i="1"/>
  <c r="AM38" i="1" s="1"/>
  <c r="AA38" i="1"/>
  <c r="AL38" i="1" s="1"/>
  <c r="V38" i="1"/>
  <c r="AJ38" i="1" s="1"/>
  <c r="T38" i="1"/>
  <c r="Q38" i="1"/>
  <c r="P38" i="1"/>
  <c r="O38" i="1"/>
  <c r="X38" i="1" s="1"/>
  <c r="H38" i="1"/>
  <c r="G38" i="1"/>
  <c r="AO37" i="1"/>
  <c r="AN37" i="1"/>
  <c r="AM37" i="1"/>
  <c r="AA37" i="1"/>
  <c r="AL37" i="1" s="1"/>
  <c r="V37" i="1"/>
  <c r="AJ37" i="1" s="1"/>
  <c r="T37" i="1"/>
  <c r="Q37" i="1"/>
  <c r="R37" i="1" s="1"/>
  <c r="O37" i="1"/>
  <c r="X37" i="1" s="1"/>
  <c r="AO36" i="1"/>
  <c r="AN36" i="1"/>
  <c r="AM36" i="1"/>
  <c r="AL36" i="1"/>
  <c r="AJ36" i="1"/>
  <c r="AI36" i="1"/>
  <c r="X36" i="1"/>
  <c r="T36" i="1"/>
  <c r="R36" i="1"/>
  <c r="AG36" i="1" s="1"/>
  <c r="AO35" i="1"/>
  <c r="AN35" i="1"/>
  <c r="AM35" i="1"/>
  <c r="AL35" i="1"/>
  <c r="AJ35" i="1"/>
  <c r="AI35" i="1"/>
  <c r="AH35" i="1"/>
  <c r="AG35" i="1"/>
  <c r="T35" i="1"/>
  <c r="R35" i="1"/>
  <c r="S35" i="1" s="1"/>
  <c r="W35" i="1" s="1"/>
  <c r="Z35" i="1" s="1"/>
  <c r="N35" i="1"/>
  <c r="X35" i="1" s="1"/>
  <c r="Y35" i="1" s="1"/>
  <c r="AO34" i="1"/>
  <c r="AN34" i="1"/>
  <c r="AM34" i="1"/>
  <c r="AL34" i="1"/>
  <c r="AJ34" i="1"/>
  <c r="AI34" i="1"/>
  <c r="AH34" i="1"/>
  <c r="AG34" i="1"/>
  <c r="Z34" i="1"/>
  <c r="AK34" i="1" s="1"/>
  <c r="AP34" i="1" s="1"/>
  <c r="AQ34" i="1" s="1"/>
  <c r="T34" i="1"/>
  <c r="S34" i="1"/>
  <c r="W34" i="1" s="1"/>
  <c r="R34" i="1"/>
  <c r="N34" i="1"/>
  <c r="X34" i="1" s="1"/>
  <c r="Y34" i="1" s="1"/>
  <c r="AO33" i="1"/>
  <c r="AD33" i="1"/>
  <c r="AC33" i="1"/>
  <c r="AN33" i="1" s="1"/>
  <c r="AB33" i="1"/>
  <c r="AM33" i="1" s="1"/>
  <c r="AA33" i="1"/>
  <c r="AL33" i="1" s="1"/>
  <c r="V33" i="1"/>
  <c r="AJ33" i="1" s="1"/>
  <c r="T33" i="1"/>
  <c r="R33" i="1"/>
  <c r="N33" i="1"/>
  <c r="X33" i="1" s="1"/>
  <c r="AP32" i="1"/>
  <c r="AQ32" i="1" s="1"/>
  <c r="AO32" i="1"/>
  <c r="AN32" i="1"/>
  <c r="AM32" i="1"/>
  <c r="AL32" i="1"/>
  <c r="AJ32" i="1"/>
  <c r="AI32" i="1"/>
  <c r="AH32" i="1"/>
  <c r="AG32" i="1"/>
  <c r="Z32" i="1"/>
  <c r="AK32" i="1" s="1"/>
  <c r="Y32" i="1"/>
  <c r="T32" i="1"/>
  <c r="S32" i="1"/>
  <c r="W32" i="1" s="1"/>
  <c r="R32" i="1"/>
  <c r="N32" i="1"/>
  <c r="X32" i="1" s="1"/>
  <c r="AO31" i="1"/>
  <c r="AN31" i="1"/>
  <c r="AM31" i="1"/>
  <c r="AL31" i="1"/>
  <c r="AJ31" i="1"/>
  <c r="AI31" i="1"/>
  <c r="Z31" i="1"/>
  <c r="X31" i="1"/>
  <c r="Y31" i="1" s="1"/>
  <c r="W31" i="1"/>
  <c r="S31" i="1"/>
  <c r="AH31" i="1" s="1"/>
  <c r="R31" i="1"/>
  <c r="AG31" i="1" s="1"/>
  <c r="N31" i="1"/>
  <c r="AO30" i="1"/>
  <c r="AI30" i="1"/>
  <c r="AC30" i="1"/>
  <c r="AN30" i="1" s="1"/>
  <c r="AB30" i="1"/>
  <c r="AM30" i="1" s="1"/>
  <c r="AA30" i="1"/>
  <c r="AL30" i="1" s="1"/>
  <c r="X30" i="1"/>
  <c r="V30" i="1"/>
  <c r="AJ30" i="1" s="1"/>
  <c r="T30" i="1"/>
  <c r="R30" i="1"/>
  <c r="AG30" i="1" s="1"/>
  <c r="N30" i="1"/>
  <c r="AD29" i="1"/>
  <c r="AO29" i="1" s="1"/>
  <c r="AC29" i="1"/>
  <c r="AN29" i="1" s="1"/>
  <c r="AB29" i="1"/>
  <c r="AM29" i="1" s="1"/>
  <c r="AA29" i="1"/>
  <c r="AL29" i="1" s="1"/>
  <c r="Z29" i="1"/>
  <c r="AK29" i="1" s="1"/>
  <c r="X29" i="1"/>
  <c r="V29" i="1"/>
  <c r="AJ29" i="1" s="1"/>
  <c r="T29" i="1"/>
  <c r="S29" i="1" s="1"/>
  <c r="AH29" i="1" s="1"/>
  <c r="R29" i="1"/>
  <c r="AG29" i="1" s="1"/>
  <c r="N29" i="1"/>
  <c r="AO28" i="1"/>
  <c r="AN28" i="1"/>
  <c r="AM28" i="1"/>
  <c r="X28" i="1"/>
  <c r="V28" i="1"/>
  <c r="AJ28" i="1" s="1"/>
  <c r="T28" i="1"/>
  <c r="Q28" i="1"/>
  <c r="P28" i="1"/>
  <c r="N28" i="1"/>
  <c r="AO27" i="1"/>
  <c r="AN27" i="1"/>
  <c r="AM27" i="1"/>
  <c r="AL27" i="1"/>
  <c r="AJ27" i="1"/>
  <c r="AI27" i="1"/>
  <c r="AG27" i="1"/>
  <c r="Z27" i="1"/>
  <c r="AK27" i="1" s="1"/>
  <c r="AP27" i="1" s="1"/>
  <c r="Y27" i="1"/>
  <c r="X27" i="1"/>
  <c r="T27" i="1"/>
  <c r="R27" i="1"/>
  <c r="S27" i="1" s="1"/>
  <c r="N27" i="1"/>
  <c r="AO26" i="1"/>
  <c r="AN26" i="1"/>
  <c r="AM26" i="1"/>
  <c r="AA26" i="1"/>
  <c r="AL26" i="1" s="1"/>
  <c r="X26" i="1"/>
  <c r="V26" i="1"/>
  <c r="AJ26" i="1" s="1"/>
  <c r="T26" i="1"/>
  <c r="R26" i="1"/>
  <c r="S26" i="1" s="1"/>
  <c r="AH26" i="1" s="1"/>
  <c r="N26" i="1"/>
  <c r="AO25" i="1"/>
  <c r="AA25" i="1"/>
  <c r="AL25" i="1" s="1"/>
  <c r="X25" i="1"/>
  <c r="V25" i="1"/>
  <c r="AJ25" i="1" s="1"/>
  <c r="T25" i="1"/>
  <c r="R25" i="1"/>
  <c r="AG25" i="1" s="1"/>
  <c r="N25" i="1"/>
  <c r="AD24" i="1"/>
  <c r="AO24" i="1" s="1"/>
  <c r="AC24" i="1"/>
  <c r="AN24" i="1" s="1"/>
  <c r="AB24" i="1"/>
  <c r="AM24" i="1" s="1"/>
  <c r="AA24" i="1"/>
  <c r="AL24" i="1" s="1"/>
  <c r="V24" i="1"/>
  <c r="AJ24" i="1" s="1"/>
  <c r="S24" i="1"/>
  <c r="R24" i="1"/>
  <c r="AG24" i="1" s="1"/>
  <c r="N24" i="1"/>
  <c r="X24" i="1" s="1"/>
  <c r="Y24" i="1" s="1"/>
  <c r="AO23" i="1"/>
  <c r="AN23" i="1"/>
  <c r="AM23" i="1"/>
  <c r="AL23" i="1"/>
  <c r="AJ23" i="1"/>
  <c r="AI23" i="1"/>
  <c r="AH23" i="1"/>
  <c r="AG23" i="1"/>
  <c r="T23" i="1"/>
  <c r="S23" i="1"/>
  <c r="W23" i="1" s="1"/>
  <c r="Z23" i="1" s="1"/>
  <c r="R23" i="1"/>
  <c r="N23" i="1"/>
  <c r="X23" i="1" s="1"/>
  <c r="Y23" i="1" s="1"/>
  <c r="AO22" i="1"/>
  <c r="AN22" i="1"/>
  <c r="AM22" i="1"/>
  <c r="AL22" i="1"/>
  <c r="AJ22" i="1"/>
  <c r="AI22" i="1"/>
  <c r="AG22" i="1"/>
  <c r="X22" i="1"/>
  <c r="T22" i="1"/>
  <c r="R22" i="1"/>
  <c r="N22" i="1"/>
  <c r="AO21" i="1"/>
  <c r="AN21" i="1"/>
  <c r="AM21" i="1"/>
  <c r="AL21" i="1"/>
  <c r="AJ21" i="1"/>
  <c r="AI21" i="1"/>
  <c r="AG21" i="1"/>
  <c r="X21" i="1"/>
  <c r="T21" i="1"/>
  <c r="S21" i="1"/>
  <c r="AH21" i="1" s="1"/>
  <c r="R21" i="1"/>
  <c r="N21" i="1"/>
  <c r="AO20" i="1"/>
  <c r="AN20" i="1"/>
  <c r="AM20" i="1"/>
  <c r="AL20" i="1"/>
  <c r="AJ20" i="1"/>
  <c r="AI20" i="1"/>
  <c r="X20" i="1"/>
  <c r="T20" i="1"/>
  <c r="R20" i="1"/>
  <c r="AG20" i="1" s="1"/>
  <c r="N20" i="1"/>
  <c r="AO19" i="1"/>
  <c r="AN19" i="1"/>
  <c r="AM19" i="1"/>
  <c r="AL19" i="1"/>
  <c r="AB19" i="1"/>
  <c r="AA19" i="1"/>
  <c r="X19" i="1"/>
  <c r="V19" i="1"/>
  <c r="AJ19" i="1" s="1"/>
  <c r="T19" i="1"/>
  <c r="R19" i="1"/>
  <c r="AG19" i="1" s="1"/>
  <c r="N19" i="1"/>
  <c r="AD18" i="1"/>
  <c r="AO18" i="1" s="1"/>
  <c r="AC18" i="1"/>
  <c r="AN18" i="1" s="1"/>
  <c r="AB18" i="1"/>
  <c r="AM18" i="1" s="1"/>
  <c r="AA18" i="1"/>
  <c r="AL18" i="1" s="1"/>
  <c r="V18" i="1"/>
  <c r="AJ18" i="1" s="1"/>
  <c r="T18" i="1"/>
  <c r="R18" i="1"/>
  <c r="AG18" i="1" s="1"/>
  <c r="N18" i="1"/>
  <c r="X18" i="1" s="1"/>
  <c r="AG17" i="1"/>
  <c r="AA17" i="1"/>
  <c r="AB17" i="1" s="1"/>
  <c r="X17" i="1"/>
  <c r="V17" i="1"/>
  <c r="T17" i="1"/>
  <c r="S17" i="1" s="1"/>
  <c r="R17" i="1"/>
  <c r="N17" i="1"/>
  <c r="AD16" i="1"/>
  <c r="AO16" i="1" s="1"/>
  <c r="AC16" i="1"/>
  <c r="AN16" i="1" s="1"/>
  <c r="AB16" i="1"/>
  <c r="AM16" i="1" s="1"/>
  <c r="AA16" i="1"/>
  <c r="AL16" i="1" s="1"/>
  <c r="V16" i="1"/>
  <c r="AJ16" i="1" s="1"/>
  <c r="T16" i="1"/>
  <c r="R16" i="1"/>
  <c r="AG16" i="1" s="1"/>
  <c r="N16" i="1"/>
  <c r="X16" i="1" s="1"/>
  <c r="AO15" i="1"/>
  <c r="AN15" i="1"/>
  <c r="AM15" i="1"/>
  <c r="AL15" i="1"/>
  <c r="AJ15" i="1"/>
  <c r="AI15" i="1"/>
  <c r="Q15" i="1"/>
  <c r="P15" i="1"/>
  <c r="O15" i="1"/>
  <c r="T15" i="1" s="1"/>
  <c r="N15" i="1"/>
  <c r="AO14" i="1"/>
  <c r="AN14" i="1"/>
  <c r="AM14" i="1"/>
  <c r="AL14" i="1"/>
  <c r="AJ14" i="1"/>
  <c r="AI14" i="1"/>
  <c r="AG14" i="1"/>
  <c r="X14" i="1"/>
  <c r="Y14" i="1" s="1"/>
  <c r="W14" i="1"/>
  <c r="Z14" i="1" s="1"/>
  <c r="T14" i="1"/>
  <c r="R14" i="1"/>
  <c r="S14" i="1" s="1"/>
  <c r="AH14" i="1" s="1"/>
  <c r="N14" i="1"/>
  <c r="AJ13" i="1"/>
  <c r="AI13" i="1"/>
  <c r="AD13" i="1"/>
  <c r="AO13" i="1" s="1"/>
  <c r="AC13" i="1"/>
  <c r="AN13" i="1" s="1"/>
  <c r="AB13" i="1"/>
  <c r="AM13" i="1" s="1"/>
  <c r="AA13" i="1"/>
  <c r="AL13" i="1" s="1"/>
  <c r="T13" i="1"/>
  <c r="Q13" i="1"/>
  <c r="P13" i="1"/>
  <c r="O13" i="1"/>
  <c r="X13" i="1" s="1"/>
  <c r="N13" i="1"/>
  <c r="AI12" i="1"/>
  <c r="AC12" i="1"/>
  <c r="AN12" i="1" s="1"/>
  <c r="AB12" i="1"/>
  <c r="AM12" i="1" s="1"/>
  <c r="AA12" i="1"/>
  <c r="AL12" i="1" s="1"/>
  <c r="X12" i="1"/>
  <c r="V12" i="1"/>
  <c r="T12" i="1"/>
  <c r="Q12" i="1"/>
  <c r="P12" i="1"/>
  <c r="N12" i="1"/>
  <c r="AN11" i="1"/>
  <c r="AM11" i="1"/>
  <c r="AL11" i="1"/>
  <c r="AK11" i="1"/>
  <c r="V11" i="1"/>
  <c r="AD11" i="1" s="1"/>
  <c r="AE11" i="1" s="1"/>
  <c r="T11" i="1"/>
  <c r="Q11" i="1"/>
  <c r="P11" i="1"/>
  <c r="R11" i="1" s="1"/>
  <c r="O11" i="1"/>
  <c r="L11" i="1"/>
  <c r="N11" i="1" s="1"/>
  <c r="I11" i="1"/>
  <c r="H11" i="1"/>
  <c r="G11" i="1"/>
  <c r="AN10" i="1"/>
  <c r="AM10" i="1"/>
  <c r="AL10" i="1"/>
  <c r="AK10" i="1"/>
  <c r="AG10" i="1"/>
  <c r="X10" i="1"/>
  <c r="V10" i="1"/>
  <c r="AJ10" i="1" s="1"/>
  <c r="T10" i="1"/>
  <c r="R10" i="1"/>
  <c r="N10" i="1"/>
  <c r="AN9" i="1"/>
  <c r="AM9" i="1"/>
  <c r="AL9" i="1"/>
  <c r="AK9" i="1"/>
  <c r="X9" i="1"/>
  <c r="V9" i="1"/>
  <c r="AJ9" i="1" s="1"/>
  <c r="T9" i="1"/>
  <c r="R9" i="1"/>
  <c r="N9" i="1"/>
  <c r="AN8" i="1"/>
  <c r="AM8" i="1"/>
  <c r="AL8" i="1"/>
  <c r="AK8" i="1"/>
  <c r="AI8" i="1"/>
  <c r="AG8" i="1"/>
  <c r="X8" i="1"/>
  <c r="T8" i="1"/>
  <c r="S8" i="1" s="1"/>
  <c r="R8" i="1"/>
  <c r="N8" i="1"/>
  <c r="AZ7" i="1"/>
  <c r="AZ12" i="1" s="1"/>
  <c r="AO7" i="1"/>
  <c r="AN7" i="1"/>
  <c r="AM7" i="1"/>
  <c r="AL7" i="1"/>
  <c r="AI7" i="1"/>
  <c r="AH7" i="1"/>
  <c r="AG7" i="1"/>
  <c r="Z7" i="1"/>
  <c r="AK7" i="1" s="1"/>
  <c r="AP7" i="1" s="1"/>
  <c r="AQ7" i="1" s="1"/>
  <c r="Y7" i="1"/>
  <c r="T7" i="1"/>
  <c r="S7" i="1"/>
  <c r="W7" i="1" s="1"/>
  <c r="R7" i="1"/>
  <c r="N7" i="1"/>
  <c r="X7" i="1" s="1"/>
  <c r="AO6" i="1"/>
  <c r="AN6" i="1"/>
  <c r="AM6" i="1"/>
  <c r="AL6" i="1"/>
  <c r="AI6" i="1"/>
  <c r="AG6" i="1"/>
  <c r="X6" i="1"/>
  <c r="T6" i="1"/>
  <c r="S6" i="1"/>
  <c r="AH6" i="1" s="1"/>
  <c r="R6" i="1"/>
  <c r="N6" i="1"/>
  <c r="AO5" i="1"/>
  <c r="AN5" i="1"/>
  <c r="AM5" i="1"/>
  <c r="AL5" i="1"/>
  <c r="AI5" i="1"/>
  <c r="T5" i="1"/>
  <c r="R5" i="1"/>
  <c r="N5" i="1"/>
  <c r="X5" i="1" s="1"/>
  <c r="S9" i="1" l="1"/>
  <c r="AH9" i="1" s="1"/>
  <c r="R28" i="1"/>
  <c r="T39" i="1"/>
  <c r="T55" i="1" s="1"/>
  <c r="W48" i="1"/>
  <c r="Z48" i="1" s="1"/>
  <c r="R38" i="1"/>
  <c r="R39" i="1"/>
  <c r="AJ11" i="1"/>
  <c r="R15" i="1"/>
  <c r="AG15" i="1" s="1"/>
  <c r="X11" i="1"/>
  <c r="X55" i="1" s="1"/>
  <c r="Y48" i="1"/>
  <c r="AD12" i="1"/>
  <c r="AO12" i="1" s="1"/>
  <c r="R43" i="1"/>
  <c r="AG43" i="1" s="1"/>
  <c r="S10" i="1"/>
  <c r="Y10" i="1" s="1"/>
  <c r="R12" i="1"/>
  <c r="AG12" i="1" s="1"/>
  <c r="AA28" i="1"/>
  <c r="AL28" i="1" s="1"/>
  <c r="R41" i="1"/>
  <c r="AG41" i="1" s="1"/>
  <c r="AK48" i="1"/>
  <c r="AO11" i="1"/>
  <c r="AP11" i="1" s="1"/>
  <c r="AA40" i="1"/>
  <c r="AL40" i="1" s="1"/>
  <c r="Y9" i="1"/>
  <c r="W29" i="1"/>
  <c r="S46" i="1"/>
  <c r="Y46" i="1" s="1"/>
  <c r="R42" i="1"/>
  <c r="AG42" i="1" s="1"/>
  <c r="R40" i="1"/>
  <c r="S40" i="1" s="1"/>
  <c r="Y29" i="1"/>
  <c r="X15" i="1"/>
  <c r="R13" i="1"/>
  <c r="AG13" i="1" s="1"/>
  <c r="AP29" i="1"/>
  <c r="AQ29" i="1" s="1"/>
  <c r="Q55" i="1"/>
  <c r="R44" i="1"/>
  <c r="AA48" i="1"/>
  <c r="AL48" i="1" s="1"/>
  <c r="BA9" i="1"/>
  <c r="BA10" i="1"/>
  <c r="BA8" i="1"/>
  <c r="BA11" i="1"/>
  <c r="BA12" i="1"/>
  <c r="Y30" i="1"/>
  <c r="AQ27" i="1"/>
  <c r="W17" i="1"/>
  <c r="Z17" i="1" s="1"/>
  <c r="AH17" i="1"/>
  <c r="AK14" i="1"/>
  <c r="AP14" i="1" s="1"/>
  <c r="AQ14" i="1" s="1"/>
  <c r="AE14" i="1"/>
  <c r="AF14" i="1" s="1"/>
  <c r="AK23" i="1"/>
  <c r="AP23" i="1" s="1"/>
  <c r="AQ23" i="1" s="1"/>
  <c r="AE23" i="1"/>
  <c r="AF23" i="1" s="1"/>
  <c r="Y17" i="1"/>
  <c r="S20" i="1"/>
  <c r="Y20" i="1" s="1"/>
  <c r="AE32" i="1"/>
  <c r="AF32" i="1" s="1"/>
  <c r="P55" i="1"/>
  <c r="BA7" i="1"/>
  <c r="W9" i="1"/>
  <c r="AC17" i="1"/>
  <c r="AN17" i="1" s="1"/>
  <c r="AM17" i="1"/>
  <c r="S18" i="1"/>
  <c r="Y18" i="1" s="1"/>
  <c r="S33" i="1"/>
  <c r="AG33" i="1"/>
  <c r="AE53" i="1"/>
  <c r="AF53" i="1" s="1"/>
  <c r="AK53" i="1"/>
  <c r="AP53" i="1" s="1"/>
  <c r="AQ53" i="1" s="1"/>
  <c r="W52" i="1"/>
  <c r="Z52" i="1" s="1"/>
  <c r="AH52" i="1"/>
  <c r="W21" i="1"/>
  <c r="Z21" i="1" s="1"/>
  <c r="AB25" i="1"/>
  <c r="W26" i="1"/>
  <c r="Z26" i="1" s="1"/>
  <c r="W27" i="1"/>
  <c r="AH27" i="1"/>
  <c r="S47" i="1"/>
  <c r="AG47" i="1"/>
  <c r="AD10" i="1"/>
  <c r="AH10" i="1"/>
  <c r="AG38" i="1"/>
  <c r="S38" i="1"/>
  <c r="AH45" i="1"/>
  <c r="S5" i="1"/>
  <c r="V8" i="1"/>
  <c r="Y8" i="1" s="1"/>
  <c r="AH8" i="1"/>
  <c r="AD9" i="1"/>
  <c r="AG5" i="1"/>
  <c r="W6" i="1"/>
  <c r="AK45" i="1"/>
  <c r="AP45" i="1" s="1"/>
  <c r="AB55" i="1"/>
  <c r="W10" i="1"/>
  <c r="Y21" i="1"/>
  <c r="S22" i="1"/>
  <c r="W24" i="1"/>
  <c r="Z24" i="1" s="1"/>
  <c r="AH24" i="1"/>
  <c r="Y26" i="1"/>
  <c r="Y36" i="1"/>
  <c r="Y6" i="1"/>
  <c r="AJ17" i="1"/>
  <c r="AG39" i="1"/>
  <c r="S39" i="1"/>
  <c r="AE7" i="1"/>
  <c r="AF7" i="1" s="1"/>
  <c r="Z6" i="1"/>
  <c r="AE34" i="1"/>
  <c r="AF34" i="1" s="1"/>
  <c r="S37" i="1"/>
  <c r="Y37" i="1" s="1"/>
  <c r="AG37" i="1"/>
  <c r="S11" i="1"/>
  <c r="AG11" i="1"/>
  <c r="AK31" i="1"/>
  <c r="AP31" i="1" s="1"/>
  <c r="AQ31" i="1" s="1"/>
  <c r="AE31" i="1"/>
  <c r="AF31" i="1" s="1"/>
  <c r="AJ12" i="1"/>
  <c r="AE27" i="1"/>
  <c r="AF27" i="1" s="1"/>
  <c r="S28" i="1"/>
  <c r="AG28" i="1"/>
  <c r="AE29" i="1"/>
  <c r="AF29" i="1" s="1"/>
  <c r="AE35" i="1"/>
  <c r="AF35" i="1" s="1"/>
  <c r="AK35" i="1"/>
  <c r="AP35" i="1" s="1"/>
  <c r="AQ35" i="1" s="1"/>
  <c r="S36" i="1"/>
  <c r="S50" i="1"/>
  <c r="Y52" i="1"/>
  <c r="AM39" i="1"/>
  <c r="AE51" i="1"/>
  <c r="AF51" i="1" s="1"/>
  <c r="AG9" i="1"/>
  <c r="S16" i="1"/>
  <c r="Y16" i="1" s="1"/>
  <c r="AL17" i="1"/>
  <c r="S25" i="1"/>
  <c r="Y25" i="1" s="1"/>
  <c r="AG26" i="1"/>
  <c r="S19" i="1"/>
  <c r="Y19" i="1" s="1"/>
  <c r="S30" i="1"/>
  <c r="Y11" i="1" l="1"/>
  <c r="S42" i="1"/>
  <c r="W46" i="1"/>
  <c r="Z46" i="1" s="1"/>
  <c r="AE46" i="1" s="1"/>
  <c r="AF46" i="1" s="1"/>
  <c r="AH46" i="1"/>
  <c r="S15" i="1"/>
  <c r="S43" i="1"/>
  <c r="AH43" i="1" s="1"/>
  <c r="S12" i="1"/>
  <c r="AH12" i="1" s="1"/>
  <c r="S13" i="1"/>
  <c r="Y13" i="1" s="1"/>
  <c r="S41" i="1"/>
  <c r="W41" i="1" s="1"/>
  <c r="Z41" i="1" s="1"/>
  <c r="AK41" i="1" s="1"/>
  <c r="AP41" i="1" s="1"/>
  <c r="AL55" i="1"/>
  <c r="AV8" i="1" s="1"/>
  <c r="AZ17" i="1" s="1"/>
  <c r="AG40" i="1"/>
  <c r="R55" i="1"/>
  <c r="AE48" i="1"/>
  <c r="AF48" i="1" s="1"/>
  <c r="AG44" i="1"/>
  <c r="S44" i="1"/>
  <c r="AA55" i="1"/>
  <c r="AP48" i="1"/>
  <c r="AQ48" i="1" s="1"/>
  <c r="Z5" i="1"/>
  <c r="W5" i="1"/>
  <c r="AH5" i="1"/>
  <c r="AQ45" i="1"/>
  <c r="AE26" i="1"/>
  <c r="AF26" i="1" s="1"/>
  <c r="AK26" i="1"/>
  <c r="AP26" i="1" s="1"/>
  <c r="AQ26" i="1" s="1"/>
  <c r="AE10" i="1"/>
  <c r="AF10" i="1" s="1"/>
  <c r="AO10" i="1"/>
  <c r="AP10" i="1" s="1"/>
  <c r="AQ10" i="1" s="1"/>
  <c r="Y38" i="1"/>
  <c r="W38" i="1"/>
  <c r="Z38" i="1" s="1"/>
  <c r="AH38" i="1"/>
  <c r="AH28" i="1"/>
  <c r="W28" i="1"/>
  <c r="Z28" i="1" s="1"/>
  <c r="AK6" i="1"/>
  <c r="AP6" i="1" s="1"/>
  <c r="AQ6" i="1" s="1"/>
  <c r="AE6" i="1"/>
  <c r="AF6" i="1" s="1"/>
  <c r="AO9" i="1"/>
  <c r="AP9" i="1" s="1"/>
  <c r="AQ9" i="1" s="1"/>
  <c r="AE9" i="1"/>
  <c r="AF9" i="1" s="1"/>
  <c r="AK52" i="1"/>
  <c r="AP52" i="1" s="1"/>
  <c r="AQ52" i="1" s="1"/>
  <c r="AE52" i="1"/>
  <c r="AF52" i="1" s="1"/>
  <c r="Y5" i="1"/>
  <c r="Z20" i="1"/>
  <c r="AH20" i="1"/>
  <c r="W20" i="1"/>
  <c r="W40" i="1"/>
  <c r="Z40" i="1" s="1"/>
  <c r="AH40" i="1"/>
  <c r="Y28" i="1"/>
  <c r="AK17" i="1"/>
  <c r="AH15" i="1"/>
  <c r="W15" i="1"/>
  <c r="Z15" i="1" s="1"/>
  <c r="AM25" i="1"/>
  <c r="AM55" i="1" s="1"/>
  <c r="AV9" i="1" s="1"/>
  <c r="AC25" i="1"/>
  <c r="AE21" i="1"/>
  <c r="AF21" i="1" s="1"/>
  <c r="AK21" i="1"/>
  <c r="AP21" i="1" s="1"/>
  <c r="AQ21" i="1" s="1"/>
  <c r="AK24" i="1"/>
  <c r="AP24" i="1" s="1"/>
  <c r="AQ24" i="1" s="1"/>
  <c r="AE24" i="1"/>
  <c r="AF24" i="1" s="1"/>
  <c r="AH30" i="1"/>
  <c r="W30" i="1"/>
  <c r="Z30" i="1" s="1"/>
  <c r="AH22" i="1"/>
  <c r="W22" i="1"/>
  <c r="Z22" i="1" s="1"/>
  <c r="Y22" i="1"/>
  <c r="AJ8" i="1"/>
  <c r="V55" i="1"/>
  <c r="AD8" i="1"/>
  <c r="W25" i="1"/>
  <c r="Z25" i="1" s="1"/>
  <c r="AH25" i="1"/>
  <c r="W16" i="1"/>
  <c r="Z16" i="1" s="1"/>
  <c r="AH16" i="1"/>
  <c r="Y15" i="1"/>
  <c r="AH50" i="1"/>
  <c r="V50" i="1"/>
  <c r="Y50" i="1" s="1"/>
  <c r="W42" i="1"/>
  <c r="Z42" i="1" s="1"/>
  <c r="AH42" i="1"/>
  <c r="AH19" i="1"/>
  <c r="W19" i="1"/>
  <c r="Z19" i="1" s="1"/>
  <c r="AH36" i="1"/>
  <c r="W36" i="1"/>
  <c r="Z36" i="1" s="1"/>
  <c r="AH11" i="1"/>
  <c r="AQ11" i="1" s="1"/>
  <c r="AF11" i="1"/>
  <c r="W11" i="1"/>
  <c r="AH39" i="1"/>
  <c r="W39" i="1"/>
  <c r="Z39" i="1" s="1"/>
  <c r="W8" i="1"/>
  <c r="W47" i="1"/>
  <c r="Z47" i="1" s="1"/>
  <c r="AH47" i="1"/>
  <c r="Y40" i="1"/>
  <c r="AK46" i="1"/>
  <c r="AP46" i="1" s="1"/>
  <c r="AQ46" i="1" s="1"/>
  <c r="AH37" i="1"/>
  <c r="W37" i="1"/>
  <c r="Z37" i="1" s="1"/>
  <c r="W33" i="1"/>
  <c r="Z33" i="1" s="1"/>
  <c r="AH33" i="1"/>
  <c r="W18" i="1"/>
  <c r="Z18" i="1" s="1"/>
  <c r="AH18" i="1"/>
  <c r="AD17" i="1"/>
  <c r="AO17" i="1" s="1"/>
  <c r="Y47" i="1"/>
  <c r="Y33" i="1"/>
  <c r="Y39" i="1"/>
  <c r="W12" i="1" l="1"/>
  <c r="Z12" i="1" s="1"/>
  <c r="AK12" i="1" s="1"/>
  <c r="AP12" i="1" s="1"/>
  <c r="AQ12" i="1" s="1"/>
  <c r="AH41" i="1"/>
  <c r="AQ41" i="1" s="1"/>
  <c r="AE41" i="1"/>
  <c r="S55" i="1"/>
  <c r="AG55" i="1"/>
  <c r="AH13" i="1"/>
  <c r="W43" i="1"/>
  <c r="Z43" i="1" s="1"/>
  <c r="AE43" i="1" s="1"/>
  <c r="W13" i="1"/>
  <c r="Z13" i="1" s="1"/>
  <c r="AE13" i="1" s="1"/>
  <c r="AF13" i="1" s="1"/>
  <c r="Y12" i="1"/>
  <c r="AE12" i="1"/>
  <c r="AF12" i="1" s="1"/>
  <c r="V57" i="1"/>
  <c r="AH44" i="1"/>
  <c r="W44" i="1"/>
  <c r="Z44" i="1" s="1"/>
  <c r="AZ18" i="1"/>
  <c r="AE25" i="1"/>
  <c r="AF25" i="1" s="1"/>
  <c r="AK25" i="1"/>
  <c r="AE19" i="1"/>
  <c r="AF19" i="1" s="1"/>
  <c r="AK19" i="1"/>
  <c r="AP19" i="1" s="1"/>
  <c r="AQ19" i="1" s="1"/>
  <c r="AK15" i="1"/>
  <c r="AP15" i="1" s="1"/>
  <c r="AQ15" i="1" s="1"/>
  <c r="AE15" i="1"/>
  <c r="AF15" i="1" s="1"/>
  <c r="W50" i="1"/>
  <c r="Z50" i="1" s="1"/>
  <c r="Y55" i="1"/>
  <c r="AK38" i="1"/>
  <c r="AP38" i="1" s="1"/>
  <c r="AQ38" i="1" s="1"/>
  <c r="AE38" i="1"/>
  <c r="AF38" i="1" s="1"/>
  <c r="AE8" i="1"/>
  <c r="AF8" i="1" s="1"/>
  <c r="AO8" i="1"/>
  <c r="AJ55" i="1"/>
  <c r="AK40" i="1"/>
  <c r="AP40" i="1" s="1"/>
  <c r="AQ40" i="1" s="1"/>
  <c r="AE40" i="1"/>
  <c r="AF40" i="1" s="1"/>
  <c r="AE20" i="1"/>
  <c r="AF20" i="1" s="1"/>
  <c r="AK20" i="1"/>
  <c r="AP20" i="1" s="1"/>
  <c r="AQ20" i="1" s="1"/>
  <c r="AK47" i="1"/>
  <c r="AP47" i="1" s="1"/>
  <c r="AQ47" i="1" s="1"/>
  <c r="AE47" i="1"/>
  <c r="AF47" i="1" s="1"/>
  <c r="AE39" i="1"/>
  <c r="AF39" i="1" s="1"/>
  <c r="AK39" i="1"/>
  <c r="AP39" i="1" s="1"/>
  <c r="AQ39" i="1" s="1"/>
  <c r="AN25" i="1"/>
  <c r="AN55" i="1" s="1"/>
  <c r="AV10" i="1" s="1"/>
  <c r="AC55" i="1"/>
  <c r="AE42" i="1"/>
  <c r="AK42" i="1"/>
  <c r="AP42" i="1" s="1"/>
  <c r="AQ42" i="1" s="1"/>
  <c r="AK22" i="1"/>
  <c r="AP22" i="1" s="1"/>
  <c r="AQ22" i="1" s="1"/>
  <c r="AE22" i="1"/>
  <c r="AF22" i="1" s="1"/>
  <c r="AK33" i="1"/>
  <c r="AP33" i="1" s="1"/>
  <c r="AQ33" i="1" s="1"/>
  <c r="AE33" i="1"/>
  <c r="AF33" i="1" s="1"/>
  <c r="AE30" i="1"/>
  <c r="AF30" i="1" s="1"/>
  <c r="AK30" i="1"/>
  <c r="AP30" i="1" s="1"/>
  <c r="AQ30" i="1" s="1"/>
  <c r="AP17" i="1"/>
  <c r="AQ17" i="1" s="1"/>
  <c r="AE36" i="1"/>
  <c r="AF36" i="1" s="1"/>
  <c r="AK36" i="1"/>
  <c r="AP36" i="1" s="1"/>
  <c r="AQ36" i="1" s="1"/>
  <c r="AK28" i="1"/>
  <c r="AP28" i="1" s="1"/>
  <c r="AQ28" i="1" s="1"/>
  <c r="AE28" i="1"/>
  <c r="AF28" i="1" s="1"/>
  <c r="AK18" i="1"/>
  <c r="AP18" i="1" s="1"/>
  <c r="AQ18" i="1" s="1"/>
  <c r="AE18" i="1"/>
  <c r="AF18" i="1" s="1"/>
  <c r="AD50" i="1"/>
  <c r="AO50" i="1" s="1"/>
  <c r="AJ50" i="1"/>
  <c r="AE5" i="1"/>
  <c r="AK5" i="1"/>
  <c r="AE37" i="1"/>
  <c r="AF37" i="1" s="1"/>
  <c r="AK37" i="1"/>
  <c r="AP37" i="1" s="1"/>
  <c r="AQ37" i="1" s="1"/>
  <c r="AE17" i="1"/>
  <c r="AF17" i="1" s="1"/>
  <c r="AE16" i="1"/>
  <c r="AF16" i="1" s="1"/>
  <c r="AK16" i="1"/>
  <c r="AP16" i="1" s="1"/>
  <c r="AQ16" i="1" s="1"/>
  <c r="AH55" i="1" l="1"/>
  <c r="AK13" i="1"/>
  <c r="AP13" i="1" s="1"/>
  <c r="AQ13" i="1" s="1"/>
  <c r="AK43" i="1"/>
  <c r="AP43" i="1" s="1"/>
  <c r="AQ43" i="1" s="1"/>
  <c r="AK44" i="1"/>
  <c r="AP44" i="1" s="1"/>
  <c r="AQ44" i="1" s="1"/>
  <c r="AE44" i="1"/>
  <c r="AP25" i="1"/>
  <c r="AQ25" i="1" s="1"/>
  <c r="AZ19" i="1"/>
  <c r="AJ57" i="1"/>
  <c r="AP5" i="1"/>
  <c r="AK55" i="1"/>
  <c r="AV7" i="1" s="1"/>
  <c r="AD55" i="1"/>
  <c r="W55" i="1"/>
  <c r="AO55" i="1"/>
  <c r="AV11" i="1" s="1"/>
  <c r="AP8" i="1"/>
  <c r="AQ8" i="1" s="1"/>
  <c r="AE50" i="1"/>
  <c r="AF50" i="1" s="1"/>
  <c r="AK50" i="1"/>
  <c r="AP50" i="1" s="1"/>
  <c r="AQ50" i="1" s="1"/>
  <c r="Z55" i="1"/>
  <c r="AF5" i="1"/>
  <c r="AQ5" i="1" l="1"/>
  <c r="AP55" i="1"/>
  <c r="AZ20" i="1"/>
  <c r="AE55" i="1"/>
  <c r="Z57" i="1" s="1"/>
  <c r="AZ16" i="1"/>
  <c r="AV12" i="1"/>
  <c r="AW11" i="1" s="1"/>
  <c r="AE57" i="1" l="1"/>
  <c r="AF55" i="1"/>
  <c r="AF57" i="1" s="1"/>
  <c r="AB57" i="1"/>
  <c r="AA57" i="1"/>
  <c r="AC57" i="1"/>
  <c r="AW12" i="1"/>
  <c r="AW8" i="1"/>
  <c r="AW9" i="1"/>
  <c r="AW10" i="1"/>
  <c r="AW7" i="1"/>
  <c r="AZ21" i="1"/>
  <c r="AD57" i="1"/>
  <c r="BA21" i="1" l="1"/>
  <c r="BA17" i="1"/>
  <c r="BA18" i="1"/>
  <c r="BA19" i="1"/>
  <c r="BA16" i="1"/>
  <c r="BA20" i="1"/>
  <c r="U17" i="1" l="1"/>
  <c r="AI17" i="1" s="1"/>
  <c r="U16" i="1"/>
  <c r="AI16" i="1" s="1"/>
  <c r="U47" i="1"/>
  <c r="AI47" i="1" s="1"/>
  <c r="U18" i="1"/>
  <c r="AI18" i="1" s="1"/>
  <c r="U19" i="1"/>
  <c r="AI19" i="1" s="1"/>
  <c r="U24" i="1"/>
  <c r="AI24" i="1" s="1"/>
  <c r="U25" i="1"/>
  <c r="AI25" i="1" s="1"/>
  <c r="U26" i="1"/>
  <c r="AI26" i="1" s="1"/>
  <c r="U28" i="1"/>
  <c r="AI28" i="1" s="1"/>
  <c r="U29" i="1"/>
  <c r="AI29" i="1" s="1"/>
  <c r="U46" i="1" l="1"/>
  <c r="AI46" i="1" s="1"/>
  <c r="U37" i="1"/>
  <c r="AI37" i="1" s="1"/>
  <c r="U38" i="1"/>
  <c r="AI38" i="1" s="1"/>
  <c r="U40" i="1"/>
  <c r="AI40" i="1" s="1"/>
  <c r="U33" i="1" l="1"/>
  <c r="AI33" i="1" s="1"/>
  <c r="U39" i="1"/>
  <c r="AI39" i="1" s="1"/>
  <c r="U9" i="1" l="1"/>
  <c r="U11" i="1"/>
  <c r="AI11" i="1" s="1"/>
  <c r="U10" i="1"/>
  <c r="AI10" i="1" s="1"/>
  <c r="AI9" i="1" l="1"/>
  <c r="U55" i="1"/>
</calcChain>
</file>

<file path=xl/sharedStrings.xml><?xml version="1.0" encoding="utf-8"?>
<sst xmlns="http://schemas.openxmlformats.org/spreadsheetml/2006/main" count="390" uniqueCount="221">
  <si>
    <t xml:space="preserve">บริษัท อาไจล์ แอสเซ็ทส์ จำกัด                                      </t>
  </si>
  <si>
    <t>รายละเอียดของลูกหนี้สัญญาเช่าซื้อ ณ วันที่ 25 กันยายน 2568</t>
  </si>
  <si>
    <t>due</t>
  </si>
  <si>
    <t>ลำดับที่</t>
  </si>
  <si>
    <t>สัญญาเลขที่</t>
  </si>
  <si>
    <t>ชื่อลูกค้า</t>
  </si>
  <si>
    <t>รายละเอียดของสินทรัพย์</t>
  </si>
  <si>
    <t>ประเภทของสัญญา</t>
  </si>
  <si>
    <t>วันที่เริ่มต้นสัญญา</t>
  </si>
  <si>
    <t>วันที่สิ้นสุดสัญญา</t>
  </si>
  <si>
    <t>กำหนดชำระงวดแรก</t>
  </si>
  <si>
    <t>กำหนดชำระงวดสุดท้าย</t>
  </si>
  <si>
    <t>อัตราดอกเบี้ยต่อปี</t>
  </si>
  <si>
    <t>จำนวนงวด</t>
  </si>
  <si>
    <t>จำนวนงวด
ชำระ</t>
  </si>
  <si>
    <t>จำนวนงวดคงเหลือ</t>
  </si>
  <si>
    <t>ค่าเช่า/งวด (Exc. VAT)</t>
  </si>
  <si>
    <t>เงินต้น (ไม่รวม Vat)</t>
  </si>
  <si>
    <t>ดอกเบี้ย</t>
  </si>
  <si>
    <t>ลูกหนี้ตามสัญญา (ไม่รวม Vat)</t>
  </si>
  <si>
    <t>คงเหลือ</t>
  </si>
  <si>
    <t>จ่ายชำระ</t>
  </si>
  <si>
    <t>จำนวนวันที่ค้างชำระ(สูงสุด)</t>
  </si>
  <si>
    <t>รวมค่าเช่าค้างชำระ</t>
  </si>
  <si>
    <t>ลูกหนี้ตามสัญญาคงเหลือ</t>
  </si>
  <si>
    <t>หมายเหตุ</t>
  </si>
  <si>
    <t>check</t>
  </si>
  <si>
    <t>Normal</t>
  </si>
  <si>
    <t>1 - 30 Days</t>
  </si>
  <si>
    <t>31 - 60 Days</t>
  </si>
  <si>
    <t>61 - 90 Days</t>
  </si>
  <si>
    <t>&gt; 90 Days</t>
  </si>
  <si>
    <t>TOTAL</t>
  </si>
  <si>
    <t>check2</t>
  </si>
  <si>
    <t>ลูกหนี้ตามสัญญา(รวม Vat)</t>
  </si>
  <si>
    <t>วันที่ชำระ</t>
  </si>
  <si>
    <t>ทีมติดตาม</t>
  </si>
  <si>
    <t>LA01/052561</t>
  </si>
  <si>
    <t>บริษัท เฮอริเทจ เอสเตสท์ จำกัด</t>
  </si>
  <si>
    <t>Glowfish Sathorn Thani 2-3 Fl - Air conditioner System 90 Unit</t>
  </si>
  <si>
    <t>เช่าซื้อ</t>
  </si>
  <si>
    <t>Fin</t>
  </si>
  <si>
    <t>สรุปพอร์ตลูกหนี้ Agile (รวม Vat)</t>
  </si>
  <si>
    <t>as 25/09/2025</t>
  </si>
  <si>
    <t>สรุปพอร์ตลูกหนี้ Co-Lending (รวม Vat)</t>
  </si>
  <si>
    <t>AGA/10-LA2021</t>
  </si>
  <si>
    <t>บริษัท เอเอ็มเอช รัชดา จำกัด</t>
  </si>
  <si>
    <t>เครื่อง Generator และ Transformer พร้อมระบบสนับสนุน</t>
  </si>
  <si>
    <t>รายการ</t>
  </si>
  <si>
    <t>ยอดสินเชื่อ</t>
  </si>
  <si>
    <t>%</t>
  </si>
  <si>
    <t>AGA/11-LA2021</t>
  </si>
  <si>
    <t>บริษัท เอเอ็มเอช สุขุมวิท 8 จำกัด</t>
  </si>
  <si>
    <t>AGA/19-LA2021</t>
  </si>
  <si>
    <t>นางสาวเปมิกา  พิศาลบุญโชติ</t>
  </si>
  <si>
    <t>เครื่อง Generator 60KVA</t>
  </si>
  <si>
    <t>LG</t>
  </si>
  <si>
    <t>AGA/21-LA2021</t>
  </si>
  <si>
    <t>ห้างหุ้นส่วนจำกัด โอ๊ตบริการ</t>
  </si>
  <si>
    <t>เครื่องเจาะน้ำบาดาล  Prodrill  JH200-250  และเครื่องอัดอากาศ Kaishan  KSCY400-14.5</t>
  </si>
  <si>
    <t>AGA/23-LA2022</t>
  </si>
  <si>
    <t>คุณเรวัฒน์  ทิพย์บรรพต</t>
  </si>
  <si>
    <t>AIRMAN ขนาด 390 CFM (มือสอง) ปี 2010</t>
  </si>
  <si>
    <t>AGA/26-LA2022</t>
  </si>
  <si>
    <t>คุณสกุณา ทองอุบล</t>
  </si>
  <si>
    <t>AGA/28-LA2022</t>
  </si>
  <si>
    <t>บริษัท เอส.ดับบลิว.โอ.ที.พรีซิซั่น จำกัด</t>
  </si>
  <si>
    <t>เครื่อง CNC และเครื่องเจียร์ขึ้นรูป</t>
  </si>
  <si>
    <t>LD</t>
  </si>
  <si>
    <t>AGA/30-LA2022</t>
  </si>
  <si>
    <t>บริษัท ออโรร่า ไร้ซ์ จำกัด</t>
  </si>
  <si>
    <t>เครื่องชั่งบรรจุอัตโนมัติสำหรับบรรจุข้าวสาร</t>
  </si>
  <si>
    <t>AGA/31-LA2022</t>
  </si>
  <si>
    <t>ร้านพีพี พลาสติก โดยคุณอานิกาญจน์</t>
  </si>
  <si>
    <t>เครื่องเป่าขวด และเครื่องแพ็คขวดเปล่า</t>
  </si>
  <si>
    <t>สรุปพอร์ตลูกหนี้ Total (รวม Vat)</t>
  </si>
  <si>
    <t>AGA/37-LA2022</t>
  </si>
  <si>
    <t>บริษัท สยาม เอพีที คัทติ้ง ทูลส์ เซอร์วิส จำกัด</t>
  </si>
  <si>
    <t>เครื่องตั้งค่าล่วงหน้าและการวัด และเครื่องตัดชิ้นส่วนโลหะ</t>
  </si>
  <si>
    <t>AGA/38-LA2022</t>
  </si>
  <si>
    <t>บริษัท โอเชี่ยน กรีน แอสเสท จำกัด</t>
  </si>
  <si>
    <t>ระบบให้อาหารอัตโนมัติ พร้อมชุดอุปกรณ์ จำนวน 1 ชุด</t>
  </si>
  <si>
    <t>AGA/41-LA2023</t>
  </si>
  <si>
    <t>บริษัท ชุมพรเอกฟ้า จำกัด</t>
  </si>
  <si>
    <t>Robot, เครื่องล้างบรรจุปิดฝา,เครื่องฆ่าเชื้อ และถังพักสแตนเลส</t>
  </si>
  <si>
    <t>AGA/42-LA2023</t>
  </si>
  <si>
    <t>บริษัท โตโน่ น้ำดื่ม 1977 จำกัด</t>
  </si>
  <si>
    <t>เครื่องเป่าขวด,เครื่องสกรีนขวด และเครื่องอบฉลากแบบสายพาน</t>
  </si>
  <si>
    <t>AGA/44-LA2023</t>
  </si>
  <si>
    <t>บริษัท ภาคใต้การบาดาลและธุรกิจ จำกัด</t>
  </si>
  <si>
    <t>เครื่อง Portable Air Compressor "ATLAS COPCO" model : XRV 1200 EXCEL</t>
  </si>
  <si>
    <t>AGA/45-LA2023</t>
  </si>
  <si>
    <t>หจก.จส.รวยทรัพย์ ฟาร์มหมู</t>
  </si>
  <si>
    <t>พัดลม 50 นิ้ว จำนวน 64 ตัว, ระบบ Silo 14 Tons, Feeder Box SST304</t>
  </si>
  <si>
    <t>AGA/47-LA2023</t>
  </si>
  <si>
    <t>บริษัท โปรเทค ฟิลด์ จำกัด</t>
  </si>
  <si>
    <t>ชุดนั่งร้านพร้อมอุปกรณ์ จำนวน 200 ชุด</t>
  </si>
  <si>
    <t>AGA/48-LA2023</t>
  </si>
  <si>
    <t>บริษัท โฟร์เอ็ม พรีซิชั่น ทูลส์ จำกัด</t>
  </si>
  <si>
    <t>เครื่อง KASUGA Brand Box Way Machining Center Q140 มือ 2</t>
  </si>
  <si>
    <t>AGA/51-LA2024</t>
  </si>
  <si>
    <t>บจก. ไอซ์ เทคโนโลยี พรอไพรทารี</t>
  </si>
  <si>
    <t>เครื่องอัดน้ำยาแอมโมเนียพร้อมมอเตอร์</t>
  </si>
  <si>
    <t>AGA/52-LA2024</t>
  </si>
  <si>
    <t>บจก.พีพี อะกริบิซิเนส</t>
  </si>
  <si>
    <t>เครื่องจักรและอุปกรณ์ฟาร์ม</t>
  </si>
  <si>
    <t>AGA/53-LA2024</t>
  </si>
  <si>
    <t>บจก. ชัยพรโฮลดิ้ง</t>
  </si>
  <si>
    <t>AGA/54-LA2024</t>
  </si>
  <si>
    <t>บจก. วี.ไอ.พี. วอเตอร์</t>
  </si>
  <si>
    <t>เครื่องเป่าขวดพร้อมอุปกรณ์</t>
  </si>
  <si>
    <t>AGA/55-LA2024</t>
  </si>
  <si>
    <t>บจก.ดี สตรอง กรุ๊ป</t>
  </si>
  <si>
    <t>เครื่องทำน้ำแข็ง 50 ตัน และ 100 ตัน/วัน</t>
  </si>
  <si>
    <t>AGA/57-LA2024</t>
  </si>
  <si>
    <t>บริษัท เพอร์เฟค ฟู้ด โฟรเซ่น</t>
  </si>
  <si>
    <t>เครื่องสไลด์สายพาน,เครื่องนวดผสมสูญญากาศ,เครื่องอัดแท่งชาบูแบบตั้งพื้น และเครื่องผสม</t>
  </si>
  <si>
    <t>AGA/58-LA2024</t>
  </si>
  <si>
    <t>บริษัท บี.ซี.เอ็ม.เอ จำกัด</t>
  </si>
  <si>
    <t>เครื่องเคลือบสูญญากาศอลูมิเนียม Batch coater V201/VZ GALILEO SECOND HAND</t>
  </si>
  <si>
    <t>AGA/60-LA2024</t>
  </si>
  <si>
    <t>บจก. สำราญทรัพย์ฟู้ดส์</t>
  </si>
  <si>
    <t>เครื่องจักรและอุปกรณ์ชำแหละไก่,ห้องเย็น,Boiler,เครื่องชั่ง 50T และ 80T</t>
  </si>
  <si>
    <t>AGA/61-LA2024</t>
  </si>
  <si>
    <t>เครื่องทำน้ำแข็งหลอดใหญ่ 80 ตัน/วัน</t>
  </si>
  <si>
    <t>AGA/62-LA2024</t>
  </si>
  <si>
    <t>บจก.พราวเทค อินดัสตรี้</t>
  </si>
  <si>
    <t>เครื่องฉีดพลาสติก</t>
  </si>
  <si>
    <t>AGA/63-LA2024</t>
  </si>
  <si>
    <t>บจก.น้ำดื่ม ออเร้นจ์</t>
  </si>
  <si>
    <t>เครื่องบรรจุน้ำดื่ม, เครื่องแพ็คแบบAuto และเครื่องสวมฉลากพร้อมตู้อบ</t>
  </si>
  <si>
    <t>AGA/64-LA2024</t>
  </si>
  <si>
    <t>บจก. ทีอาร์ที วอเตอร์</t>
  </si>
  <si>
    <t>เครื่องเจาะบาดาลตีนตะขาบ RAPTOR-F300</t>
  </si>
  <si>
    <t>AGA/66-LA2025</t>
  </si>
  <si>
    <t>บจก.นันทวรรณ กรีนดริ้งค์</t>
  </si>
  <si>
    <t>AGA/67-LA2025</t>
  </si>
  <si>
    <t>AGA/65-LA2024</t>
  </si>
  <si>
    <t>หจก.ไลฟ์ รีพับลิก</t>
  </si>
  <si>
    <t>AGA/68-LA2025</t>
  </si>
  <si>
    <t>หจก. วี.ไอ.พี. วอเตอร์ (HP)</t>
  </si>
  <si>
    <t>AGA/69-LA2025</t>
  </si>
  <si>
    <t>หจก. วี.ไอ.พี. วอเตอร์ (HPB)</t>
  </si>
  <si>
    <t>AGA/70-LA2025</t>
  </si>
  <si>
    <t>น้ำดื่ม วี อาร์ โดยคุณพลาญชัย รุ่งเรืองยั่งยืน</t>
  </si>
  <si>
    <t>AGA/71-LA2025</t>
  </si>
  <si>
    <t>บริษัท วินวิน อินเตอร์กรุ๊ป</t>
  </si>
  <si>
    <t>AGA/72-LA2025</t>
  </si>
  <si>
    <t>หจก.พีพี พลาสติกพลัส</t>
  </si>
  <si>
    <t>AGA/73-LA2025</t>
  </si>
  <si>
    <t>บริษัท น้ำดื่มขอนแก่น จำกัด</t>
  </si>
  <si>
    <t>AGA/74-LA2025</t>
  </si>
  <si>
    <t>บริษัท มิลเลี่ยน แม็กไพส์ จำกัด</t>
  </si>
  <si>
    <t>AGA/75-LA2025</t>
  </si>
  <si>
    <t>AGA/11-PL082024</t>
  </si>
  <si>
    <t>เงินกู้</t>
  </si>
  <si>
    <t>AGA/12-PL102024</t>
  </si>
  <si>
    <t>AGA/10-PL07/2024</t>
  </si>
  <si>
    <t>AGA/14-PL012025</t>
  </si>
  <si>
    <t>เงินกู้(*)</t>
  </si>
  <si>
    <t>AGA/15-PL012025</t>
  </si>
  <si>
    <t>บริษัท สยาม บี บี อาร์ ซิสเทม จำกัด</t>
  </si>
  <si>
    <t>AGA/16-PL012025</t>
  </si>
  <si>
    <t>ECO/02-LA082019</t>
  </si>
  <si>
    <t>Glowfish Sathorn Nakorn 19-20 Fl. -Air conditioner System 106 Unit</t>
  </si>
  <si>
    <t>ซื้อ-ขาย</t>
  </si>
  <si>
    <t>AGA/05-PUR08/2023</t>
  </si>
  <si>
    <t>อุปกรณ์ฟาร์มหมู</t>
  </si>
  <si>
    <t>สรุปยอดสัญญาเช่าซื้อและซื้อ-ขายผ่อนชำระ</t>
  </si>
  <si>
    <t>หมายเหตุ : ทุกรายการ Exc.Vat</t>
  </si>
  <si>
    <t>สรุป Co-Lending</t>
  </si>
  <si>
    <t>as 25.9.2025</t>
  </si>
  <si>
    <t>สรุปยอด Co-Lending</t>
  </si>
  <si>
    <t>No.</t>
  </si>
  <si>
    <t>Co-Lending</t>
  </si>
  <si>
    <t>No.CL</t>
  </si>
  <si>
    <t>Credit Type</t>
  </si>
  <si>
    <t>Contract</t>
  </si>
  <si>
    <t>Asset Price</t>
  </si>
  <si>
    <t>Down</t>
  </si>
  <si>
    <t>Credit (Vat)</t>
  </si>
  <si>
    <t>Credit (Non Vat)</t>
  </si>
  <si>
    <t>Rate</t>
  </si>
  <si>
    <t>Payment</t>
  </si>
  <si>
    <t>Principle</t>
  </si>
  <si>
    <t>Interest</t>
  </si>
  <si>
    <t>Vat</t>
  </si>
  <si>
    <t>Term</t>
  </si>
  <si>
    <t>Agile (%)</t>
  </si>
  <si>
    <t>Co-Lend(%)</t>
  </si>
  <si>
    <t>Agile (VAT)</t>
  </si>
  <si>
    <t>Agile (Non VAT)</t>
  </si>
  <si>
    <t>Co-Lend (Vat)</t>
  </si>
  <si>
    <t>Co-Lend (Non VAT)</t>
  </si>
  <si>
    <t>วันที่ update</t>
  </si>
  <si>
    <t>ชำระ (งวด)</t>
  </si>
  <si>
    <t>ชำระรวม</t>
  </si>
  <si>
    <t>ชำระเงินต้น</t>
  </si>
  <si>
    <t>ชำระดอกเบี้ย</t>
  </si>
  <si>
    <t>ชำระ Vat</t>
  </si>
  <si>
    <t>เงินต้นคงเหลือ</t>
  </si>
  <si>
    <t>ดอกเบี้ยคงเหลือ</t>
  </si>
  <si>
    <t>Vat คงเหลือ</t>
  </si>
  <si>
    <t>รวมคงเหลือ</t>
  </si>
  <si>
    <t>Portfolio</t>
  </si>
  <si>
    <t>AGA66-LA2025</t>
  </si>
  <si>
    <t>AGA67-LA2025</t>
  </si>
  <si>
    <t>เงินกู้ (พิเศษ)</t>
  </si>
  <si>
    <t>AGA14-PL012025</t>
  </si>
  <si>
    <t>บจก. วินวิน อินเตอร์กรุ๊ป</t>
  </si>
  <si>
    <t>AGA71-LA2025</t>
  </si>
  <si>
    <t>บจก. น้ำดื่มขอนแก่น</t>
  </si>
  <si>
    <t xml:space="preserve">AGA/73-LA2025   </t>
  </si>
  <si>
    <t>บจก. มิลเลี่ยน แม็กไพส์</t>
  </si>
  <si>
    <t>เช่าซื้อกลับ</t>
  </si>
  <si>
    <t>หจก. ท่าพระจันทร์ 2007</t>
  </si>
  <si>
    <t>AGA/76-LA2025</t>
  </si>
  <si>
    <t>บจก.โปรเทคฟิลด์</t>
  </si>
  <si>
    <t>รวม</t>
  </si>
  <si>
    <t>คิดเป็น %</t>
  </si>
  <si>
    <t>ภาระหนี้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</si>
</sst>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\-??_-;_-@_-"/>
    <numFmt numFmtId="165" formatCode="_(* #,##0_);_(* \(#,##0\);_(* &quot;-&quot;??_);_(@_)"/>
    <numFmt numFmtId="166" formatCode="[$-1070000]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sz val="11"/>
      <color theme="1"/>
      <name val="Arial"/>
      <family val="2"/>
    </font>
    <font>
      <sz val="12"/>
      <name val="Browallia New"/>
      <family val="2"/>
    </font>
    <font>
      <b/>
      <sz val="12"/>
      <color rgb="FFFF0000"/>
      <name val="Browallia New"/>
      <family val="2"/>
    </font>
    <font>
      <b/>
      <sz val="12"/>
      <name val="Browallia New"/>
      <family val="2"/>
    </font>
    <font>
      <b/>
      <sz val="12"/>
      <color rgb="FFC00000"/>
      <name val="Browallia New"/>
      <family val="2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b/>
      <sz val="14"/>
      <name val="Cordia New"/>
      <family val="2"/>
    </font>
    <font>
      <b/>
      <sz val="26"/>
      <name val="Browallia New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</cellStyleXfs>
  <cellXfs count="258">
    <xf numFmtId="0" fontId="0" fillId="0" borderId="0" xfId="0"/>
    <xf numFmtId="0" fontId="3" fillId="2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2" applyFont="1" applyAlignment="1">
      <alignment vertical="center"/>
    </xf>
    <xf numFmtId="0" fontId="3" fillId="2" borderId="0" xfId="3" applyFont="1" applyFill="1" applyAlignment="1">
      <alignment horizontal="center" vertical="center"/>
    </xf>
    <xf numFmtId="164" fontId="6" fillId="0" borderId="0" xfId="4" applyFont="1" applyFill="1" applyAlignment="1">
      <alignment vertical="center"/>
    </xf>
    <xf numFmtId="4" fontId="3" fillId="0" borderId="0" xfId="2" applyNumberFormat="1" applyFont="1" applyAlignment="1">
      <alignment vertical="center" wrapText="1"/>
    </xf>
    <xf numFmtId="4" fontId="3" fillId="0" borderId="0" xfId="2" applyNumberFormat="1" applyFont="1" applyAlignment="1">
      <alignment vertical="center"/>
    </xf>
    <xf numFmtId="1" fontId="3" fillId="0" borderId="0" xfId="2" applyNumberFormat="1" applyFont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43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 wrapText="1"/>
    </xf>
    <xf numFmtId="4" fontId="6" fillId="0" borderId="0" xfId="2" applyNumberFormat="1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4" fillId="4" borderId="2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shrinkToFit="1"/>
    </xf>
    <xf numFmtId="0" fontId="4" fillId="3" borderId="2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4" fontId="4" fillId="5" borderId="5" xfId="2" applyNumberFormat="1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4" fillId="7" borderId="7" xfId="2" applyFont="1" applyFill="1" applyBorder="1" applyAlignment="1">
      <alignment horizontal="center" vertical="center" wrapText="1"/>
    </xf>
    <xf numFmtId="4" fontId="4" fillId="7" borderId="8" xfId="2" applyNumberFormat="1" applyFont="1" applyFill="1" applyBorder="1" applyAlignment="1">
      <alignment horizontal="center" vertical="center" wrapText="1"/>
    </xf>
    <xf numFmtId="0" fontId="4" fillId="7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1" fontId="8" fillId="8" borderId="11" xfId="2" applyNumberFormat="1" applyFont="1" applyFill="1" applyBorder="1" applyAlignment="1">
      <alignment horizontal="center" vertical="center"/>
    </xf>
    <xf numFmtId="0" fontId="6" fillId="9" borderId="13" xfId="2" applyFont="1" applyFill="1" applyBorder="1" applyAlignment="1">
      <alignment horizontal="center" vertical="center"/>
    </xf>
    <xf numFmtId="0" fontId="6" fillId="0" borderId="13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14" fontId="6" fillId="0" borderId="13" xfId="2" applyNumberFormat="1" applyFont="1" applyBorder="1" applyAlignment="1">
      <alignment horizontal="center" vertical="center"/>
    </xf>
    <xf numFmtId="10" fontId="6" fillId="0" borderId="13" xfId="2" applyNumberFormat="1" applyFont="1" applyBorder="1" applyAlignment="1">
      <alignment horizontal="center" vertical="center"/>
    </xf>
    <xf numFmtId="0" fontId="6" fillId="9" borderId="14" xfId="2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43" fontId="6" fillId="0" borderId="13" xfId="2" applyNumberFormat="1" applyFont="1" applyBorder="1" applyAlignment="1">
      <alignment vertical="center"/>
    </xf>
    <xf numFmtId="164" fontId="6" fillId="9" borderId="13" xfId="4" applyFont="1" applyFill="1" applyBorder="1" applyAlignment="1">
      <alignment vertical="center"/>
    </xf>
    <xf numFmtId="165" fontId="6" fillId="0" borderId="13" xfId="2" applyNumberFormat="1" applyFont="1" applyBorder="1" applyAlignment="1">
      <alignment horizontal="center" vertical="center"/>
    </xf>
    <xf numFmtId="43" fontId="3" fillId="0" borderId="13" xfId="2" applyNumberFormat="1" applyFont="1" applyBorder="1" applyAlignment="1">
      <alignment vertical="center"/>
    </xf>
    <xf numFmtId="4" fontId="6" fillId="0" borderId="13" xfId="2" applyNumberFormat="1" applyFont="1" applyBorder="1" applyAlignment="1">
      <alignment vertical="center" wrapText="1"/>
    </xf>
    <xf numFmtId="4" fontId="6" fillId="0" borderId="15" xfId="2" applyNumberFormat="1" applyFont="1" applyBorder="1" applyAlignment="1">
      <alignment vertical="center" wrapText="1"/>
    </xf>
    <xf numFmtId="4" fontId="6" fillId="0" borderId="12" xfId="2" applyNumberFormat="1" applyFont="1" applyBorder="1" applyAlignment="1">
      <alignment vertical="center" wrapText="1"/>
    </xf>
    <xf numFmtId="43" fontId="6" fillId="0" borderId="13" xfId="2" applyNumberFormat="1" applyFont="1" applyBorder="1" applyAlignment="1">
      <alignment vertical="center" wrapText="1"/>
    </xf>
    <xf numFmtId="43" fontId="6" fillId="0" borderId="16" xfId="2" applyNumberFormat="1" applyFont="1" applyBorder="1" applyAlignment="1">
      <alignment vertical="center" wrapText="1"/>
    </xf>
    <xf numFmtId="164" fontId="6" fillId="0" borderId="17" xfId="4" applyFont="1" applyFill="1" applyBorder="1" applyAlignment="1">
      <alignment vertical="center"/>
    </xf>
    <xf numFmtId="43" fontId="6" fillId="0" borderId="18" xfId="2" applyNumberFormat="1" applyFont="1" applyBorder="1" applyAlignment="1">
      <alignment vertical="center"/>
    </xf>
    <xf numFmtId="165" fontId="6" fillId="0" borderId="14" xfId="2" applyNumberFormat="1" applyFont="1" applyBorder="1" applyAlignment="1">
      <alignment vertical="center"/>
    </xf>
    <xf numFmtId="43" fontId="6" fillId="0" borderId="19" xfId="2" applyNumberFormat="1" applyFont="1" applyBorder="1" applyAlignment="1">
      <alignment vertical="center"/>
    </xf>
    <xf numFmtId="4" fontId="6" fillId="0" borderId="20" xfId="2" applyNumberFormat="1" applyFont="1" applyBorder="1" applyAlignment="1">
      <alignment vertical="center"/>
    </xf>
    <xf numFmtId="4" fontId="6" fillId="0" borderId="21" xfId="2" applyNumberFormat="1" applyFont="1" applyBorder="1" applyAlignment="1">
      <alignment vertical="center"/>
    </xf>
    <xf numFmtId="4" fontId="6" fillId="0" borderId="22" xfId="2" applyNumberFormat="1" applyFont="1" applyBorder="1" applyAlignment="1">
      <alignment vertical="center"/>
    </xf>
    <xf numFmtId="1" fontId="6" fillId="0" borderId="11" xfId="2" applyNumberFormat="1" applyFont="1" applyBorder="1" applyAlignment="1">
      <alignment horizontal="center" vertical="center"/>
    </xf>
    <xf numFmtId="0" fontId="8" fillId="10" borderId="0" xfId="2" applyFont="1" applyFill="1" applyAlignment="1">
      <alignment vertical="center"/>
    </xf>
    <xf numFmtId="0" fontId="6" fillId="10" borderId="0" xfId="2" applyFont="1" applyFill="1" applyAlignment="1">
      <alignment vertical="center"/>
    </xf>
    <xf numFmtId="0" fontId="8" fillId="10" borderId="0" xfId="2" applyFont="1" applyFill="1" applyAlignment="1">
      <alignment horizontal="right" vertical="center"/>
    </xf>
    <xf numFmtId="0" fontId="8" fillId="11" borderId="0" xfId="2" applyFont="1" applyFill="1" applyAlignment="1">
      <alignment vertical="center"/>
    </xf>
    <xf numFmtId="0" fontId="6" fillId="11" borderId="0" xfId="2" applyFont="1" applyFill="1" applyAlignment="1">
      <alignment vertical="center"/>
    </xf>
    <xf numFmtId="0" fontId="6" fillId="0" borderId="14" xfId="2" applyFont="1" applyBorder="1" applyAlignment="1">
      <alignment vertical="center" shrinkToFit="1"/>
    </xf>
    <xf numFmtId="0" fontId="6" fillId="0" borderId="14" xfId="2" applyFont="1" applyBorder="1" applyAlignment="1">
      <alignment horizontal="center" vertical="center"/>
    </xf>
    <xf numFmtId="14" fontId="6" fillId="0" borderId="14" xfId="2" applyNumberFormat="1" applyFont="1" applyBorder="1" applyAlignment="1">
      <alignment horizontal="center" vertical="center"/>
    </xf>
    <xf numFmtId="10" fontId="6" fillId="0" borderId="14" xfId="2" applyNumberFormat="1" applyFont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43" fontId="6" fillId="0" borderId="14" xfId="2" applyNumberFormat="1" applyFont="1" applyBorder="1" applyAlignment="1">
      <alignment vertical="center"/>
    </xf>
    <xf numFmtId="164" fontId="6" fillId="9" borderId="14" xfId="4" applyFont="1" applyFill="1" applyBorder="1" applyAlignment="1">
      <alignment vertical="center"/>
    </xf>
    <xf numFmtId="165" fontId="6" fillId="0" borderId="14" xfId="2" applyNumberFormat="1" applyFont="1" applyBorder="1" applyAlignment="1">
      <alignment horizontal="center" vertical="center"/>
    </xf>
    <xf numFmtId="43" fontId="3" fillId="0" borderId="14" xfId="2" applyNumberFormat="1" applyFont="1" applyBorder="1" applyAlignment="1">
      <alignment vertical="center"/>
    </xf>
    <xf numFmtId="4" fontId="6" fillId="0" borderId="14" xfId="2" applyNumberFormat="1" applyFont="1" applyBorder="1" applyAlignment="1">
      <alignment vertical="center" wrapText="1"/>
    </xf>
    <xf numFmtId="4" fontId="6" fillId="0" borderId="25" xfId="2" applyNumberFormat="1" applyFont="1" applyBorder="1" applyAlignment="1">
      <alignment vertical="center" wrapText="1"/>
    </xf>
    <xf numFmtId="4" fontId="6" fillId="0" borderId="24" xfId="2" applyNumberFormat="1" applyFont="1" applyBorder="1" applyAlignment="1">
      <alignment vertical="center" wrapText="1"/>
    </xf>
    <xf numFmtId="43" fontId="6" fillId="0" borderId="14" xfId="2" applyNumberFormat="1" applyFont="1" applyBorder="1" applyAlignment="1">
      <alignment vertical="center" wrapText="1"/>
    </xf>
    <xf numFmtId="43" fontId="6" fillId="0" borderId="26" xfId="2" applyNumberFormat="1" applyFont="1" applyBorder="1" applyAlignment="1">
      <alignment vertical="center" wrapText="1"/>
    </xf>
    <xf numFmtId="43" fontId="6" fillId="0" borderId="25" xfId="2" applyNumberFormat="1" applyFont="1" applyBorder="1" applyAlignment="1">
      <alignment vertical="center"/>
    </xf>
    <xf numFmtId="43" fontId="6" fillId="0" borderId="27" xfId="2" applyNumberFormat="1" applyFont="1" applyBorder="1" applyAlignment="1">
      <alignment vertical="center"/>
    </xf>
    <xf numFmtId="4" fontId="6" fillId="0" borderId="28" xfId="2" applyNumberFormat="1" applyFont="1" applyBorder="1" applyAlignment="1">
      <alignment vertical="center"/>
    </xf>
    <xf numFmtId="4" fontId="6" fillId="0" borderId="29" xfId="2" applyNumberFormat="1" applyFont="1" applyBorder="1" applyAlignment="1">
      <alignment vertical="center"/>
    </xf>
    <xf numFmtId="4" fontId="6" fillId="0" borderId="30" xfId="2" applyNumberFormat="1" applyFont="1" applyBorder="1" applyAlignment="1">
      <alignment vertical="center"/>
    </xf>
    <xf numFmtId="0" fontId="8" fillId="10" borderId="11" xfId="2" applyFont="1" applyFill="1" applyBorder="1" applyAlignment="1">
      <alignment horizontal="center" vertical="center"/>
    </xf>
    <xf numFmtId="0" fontId="8" fillId="11" borderId="11" xfId="2" applyFont="1" applyFill="1" applyBorder="1" applyAlignment="1">
      <alignment horizontal="center" vertical="center"/>
    </xf>
    <xf numFmtId="164" fontId="6" fillId="10" borderId="11" xfId="2" applyNumberFormat="1" applyFont="1" applyFill="1" applyBorder="1" applyAlignment="1">
      <alignment vertical="center"/>
    </xf>
    <xf numFmtId="164" fontId="6" fillId="11" borderId="11" xfId="2" applyNumberFormat="1" applyFont="1" applyFill="1" applyBorder="1" applyAlignment="1">
      <alignment vertical="center"/>
    </xf>
    <xf numFmtId="0" fontId="3" fillId="9" borderId="14" xfId="2" applyFont="1" applyFill="1" applyBorder="1" applyAlignment="1">
      <alignment horizontal="center" vertical="center"/>
    </xf>
    <xf numFmtId="0" fontId="3" fillId="0" borderId="14" xfId="2" applyFont="1" applyBorder="1" applyAlignment="1">
      <alignment vertical="center" shrinkToFit="1"/>
    </xf>
    <xf numFmtId="0" fontId="3" fillId="0" borderId="14" xfId="2" applyFont="1" applyBorder="1" applyAlignment="1">
      <alignment horizontal="center" vertical="center"/>
    </xf>
    <xf numFmtId="14" fontId="3" fillId="0" borderId="14" xfId="2" applyNumberFormat="1" applyFont="1" applyBorder="1" applyAlignment="1">
      <alignment horizontal="center" vertical="center"/>
    </xf>
    <xf numFmtId="10" fontId="3" fillId="0" borderId="14" xfId="2" applyNumberFormat="1" applyFont="1" applyBorder="1" applyAlignment="1">
      <alignment horizontal="center" vertical="center"/>
    </xf>
    <xf numFmtId="164" fontId="3" fillId="0" borderId="14" xfId="4" applyFont="1" applyFill="1" applyBorder="1" applyAlignment="1">
      <alignment vertical="center"/>
    </xf>
    <xf numFmtId="164" fontId="3" fillId="9" borderId="14" xfId="4" applyFont="1" applyFill="1" applyBorder="1" applyAlignment="1">
      <alignment vertical="center"/>
    </xf>
    <xf numFmtId="165" fontId="3" fillId="0" borderId="14" xfId="2" applyNumberFormat="1" applyFont="1" applyBorder="1" applyAlignment="1">
      <alignment horizontal="center" vertical="center"/>
    </xf>
    <xf numFmtId="164" fontId="8" fillId="10" borderId="11" xfId="2" applyNumberFormat="1" applyFont="1" applyFill="1" applyBorder="1" applyAlignment="1">
      <alignment vertical="center"/>
    </xf>
    <xf numFmtId="164" fontId="8" fillId="11" borderId="11" xfId="2" applyNumberFormat="1" applyFont="1" applyFill="1" applyBorder="1" applyAlignment="1">
      <alignment vertical="center"/>
    </xf>
    <xf numFmtId="43" fontId="8" fillId="0" borderId="0" xfId="2" applyNumberFormat="1" applyFont="1" applyAlignment="1">
      <alignment vertical="center"/>
    </xf>
    <xf numFmtId="0" fontId="8" fillId="12" borderId="0" xfId="2" applyFont="1" applyFill="1" applyAlignment="1">
      <alignment vertical="center"/>
    </xf>
    <xf numFmtId="0" fontId="6" fillId="12" borderId="0" xfId="2" applyFont="1" applyFill="1" applyAlignment="1">
      <alignment vertical="center"/>
    </xf>
    <xf numFmtId="0" fontId="8" fillId="12" borderId="11" xfId="2" applyFont="1" applyFill="1" applyBorder="1" applyAlignment="1">
      <alignment horizontal="center" vertical="center"/>
    </xf>
    <xf numFmtId="164" fontId="6" fillId="12" borderId="11" xfId="2" applyNumberFormat="1" applyFont="1" applyFill="1" applyBorder="1" applyAlignment="1">
      <alignment vertical="center"/>
    </xf>
    <xf numFmtId="164" fontId="8" fillId="12" borderId="11" xfId="2" applyNumberFormat="1" applyFont="1" applyFill="1" applyBorder="1" applyAlignment="1">
      <alignment vertical="center"/>
    </xf>
    <xf numFmtId="0" fontId="6" fillId="2" borderId="14" xfId="2" applyFont="1" applyFill="1" applyBorder="1" applyAlignment="1">
      <alignment vertical="center" shrinkToFit="1"/>
    </xf>
    <xf numFmtId="0" fontId="6" fillId="10" borderId="14" xfId="2" applyFont="1" applyFill="1" applyBorder="1" applyAlignment="1">
      <alignment horizontal="center" vertical="center"/>
    </xf>
    <xf numFmtId="164" fontId="6" fillId="10" borderId="14" xfId="4" applyFont="1" applyFill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2" xfId="2" applyFont="1" applyBorder="1" applyAlignment="1">
      <alignment vertical="center" shrinkToFit="1"/>
    </xf>
    <xf numFmtId="0" fontId="6" fillId="0" borderId="32" xfId="2" applyFont="1" applyBorder="1" applyAlignment="1">
      <alignment vertical="center"/>
    </xf>
    <xf numFmtId="0" fontId="6" fillId="2" borderId="32" xfId="2" applyFont="1" applyFill="1" applyBorder="1" applyAlignment="1">
      <alignment horizontal="center" vertical="center"/>
    </xf>
    <xf numFmtId="164" fontId="6" fillId="0" borderId="32" xfId="4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4" fontId="6" fillId="0" borderId="32" xfId="2" applyNumberFormat="1" applyFont="1" applyBorder="1" applyAlignment="1">
      <alignment vertical="center" wrapText="1"/>
    </xf>
    <xf numFmtId="4" fontId="6" fillId="0" borderId="33" xfId="2" applyNumberFormat="1" applyFont="1" applyBorder="1" applyAlignment="1">
      <alignment vertical="center" wrapText="1"/>
    </xf>
    <xf numFmtId="4" fontId="6" fillId="0" borderId="31" xfId="2" applyNumberFormat="1" applyFont="1" applyBorder="1" applyAlignment="1">
      <alignment vertical="center" wrapText="1"/>
    </xf>
    <xf numFmtId="0" fontId="6" fillId="0" borderId="32" xfId="2" applyFont="1" applyBorder="1" applyAlignment="1">
      <alignment vertical="center" wrapText="1"/>
    </xf>
    <xf numFmtId="0" fontId="6" fillId="0" borderId="34" xfId="2" applyFont="1" applyBorder="1" applyAlignment="1">
      <alignment vertical="center" wrapText="1"/>
    </xf>
    <xf numFmtId="0" fontId="6" fillId="0" borderId="33" xfId="2" applyFont="1" applyBorder="1" applyAlignment="1">
      <alignment vertical="center"/>
    </xf>
    <xf numFmtId="0" fontId="6" fillId="0" borderId="35" xfId="2" applyFont="1" applyBorder="1" applyAlignment="1">
      <alignment vertical="center"/>
    </xf>
    <xf numFmtId="4" fontId="6" fillId="0" borderId="36" xfId="2" applyNumberFormat="1" applyFont="1" applyBorder="1" applyAlignment="1">
      <alignment vertical="center"/>
    </xf>
    <xf numFmtId="4" fontId="6" fillId="0" borderId="37" xfId="2" applyNumberFormat="1" applyFont="1" applyBorder="1" applyAlignment="1">
      <alignment vertical="center"/>
    </xf>
    <xf numFmtId="4" fontId="6" fillId="0" borderId="38" xfId="2" applyNumberFormat="1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8" fillId="0" borderId="2" xfId="2" applyFont="1" applyBorder="1" applyAlignment="1">
      <alignment vertical="center" shrinkToFit="1"/>
    </xf>
    <xf numFmtId="0" fontId="6" fillId="0" borderId="7" xfId="2" applyFont="1" applyBorder="1" applyAlignment="1">
      <alignment vertical="center"/>
    </xf>
    <xf numFmtId="0" fontId="6" fillId="2" borderId="7" xfId="2" applyFont="1" applyFill="1" applyBorder="1" applyAlignment="1">
      <alignment horizontal="center" vertical="center"/>
    </xf>
    <xf numFmtId="164" fontId="8" fillId="0" borderId="2" xfId="2" applyNumberFormat="1" applyFont="1" applyBorder="1" applyAlignment="1">
      <alignment vertical="center"/>
    </xf>
    <xf numFmtId="164" fontId="8" fillId="2" borderId="2" xfId="2" applyNumberFormat="1" applyFont="1" applyFill="1" applyBorder="1" applyAlignment="1">
      <alignment vertical="center"/>
    </xf>
    <xf numFmtId="164" fontId="8" fillId="0" borderId="3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10" fontId="9" fillId="0" borderId="0" xfId="6" applyNumberFormat="1" applyFont="1" applyFill="1" applyAlignment="1">
      <alignment vertical="center"/>
    </xf>
    <xf numFmtId="10" fontId="6" fillId="0" borderId="0" xfId="6" applyNumberFormat="1" applyFont="1" applyFill="1" applyAlignment="1">
      <alignment vertical="center"/>
    </xf>
    <xf numFmtId="10" fontId="6" fillId="2" borderId="0" xfId="6" applyNumberFormat="1" applyFont="1" applyFill="1" applyAlignment="1">
      <alignment vertical="center"/>
    </xf>
    <xf numFmtId="4" fontId="6" fillId="0" borderId="0" xfId="6" applyNumberFormat="1" applyFont="1" applyFill="1" applyAlignment="1">
      <alignment vertical="center" wrapText="1"/>
    </xf>
    <xf numFmtId="0" fontId="6" fillId="2" borderId="0" xfId="2" applyFont="1" applyFill="1" applyAlignment="1">
      <alignment vertical="center" shrinkToFit="1"/>
    </xf>
    <xf numFmtId="10" fontId="6" fillId="13" borderId="11" xfId="1" applyNumberFormat="1" applyFont="1" applyFill="1" applyBorder="1" applyAlignment="1">
      <alignment vertical="center"/>
    </xf>
    <xf numFmtId="4" fontId="6" fillId="2" borderId="0" xfId="2" applyNumberFormat="1" applyFont="1" applyFill="1" applyAlignment="1">
      <alignment vertical="center" wrapText="1"/>
    </xf>
    <xf numFmtId="10" fontId="6" fillId="9" borderId="11" xfId="1" applyNumberFormat="1" applyFont="1" applyFill="1" applyBorder="1" applyAlignment="1">
      <alignment vertical="center"/>
    </xf>
    <xf numFmtId="10" fontId="6" fillId="14" borderId="11" xfId="1" applyNumberFormat="1" applyFont="1" applyFill="1" applyBorder="1" applyAlignment="1">
      <alignment vertical="center"/>
    </xf>
    <xf numFmtId="10" fontId="6" fillId="15" borderId="11" xfId="1" applyNumberFormat="1" applyFont="1" applyFill="1" applyBorder="1" applyAlignment="1">
      <alignment vertical="center"/>
    </xf>
    <xf numFmtId="10" fontId="6" fillId="16" borderId="11" xfId="1" applyNumberFormat="1" applyFont="1" applyFill="1" applyBorder="1" applyAlignment="1">
      <alignment vertical="center"/>
    </xf>
    <xf numFmtId="10" fontId="6" fillId="2" borderId="11" xfId="1" applyNumberFormat="1" applyFont="1" applyFill="1" applyBorder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14" fontId="6" fillId="2" borderId="0" xfId="2" applyNumberFormat="1" applyFont="1" applyFill="1" applyAlignment="1">
      <alignment horizontal="center" vertical="center"/>
    </xf>
    <xf numFmtId="14" fontId="6" fillId="2" borderId="0" xfId="2" applyNumberFormat="1" applyFont="1" applyFill="1" applyAlignment="1">
      <alignment vertical="center"/>
    </xf>
    <xf numFmtId="164" fontId="6" fillId="2" borderId="0" xfId="4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0" fontId="10" fillId="12" borderId="0" xfId="0" applyFont="1" applyFill="1"/>
    <xf numFmtId="3" fontId="10" fillId="12" borderId="0" xfId="0" applyNumberFormat="1" applyFont="1" applyFill="1"/>
    <xf numFmtId="0" fontId="10" fillId="0" borderId="0" xfId="0" applyFont="1"/>
    <xf numFmtId="0" fontId="10" fillId="10" borderId="0" xfId="0" applyFont="1" applyFill="1"/>
    <xf numFmtId="0" fontId="10" fillId="17" borderId="0" xfId="0" applyFont="1" applyFill="1"/>
    <xf numFmtId="0" fontId="11" fillId="17" borderId="0" xfId="0" applyFont="1" applyFill="1"/>
    <xf numFmtId="4" fontId="10" fillId="17" borderId="0" xfId="0" applyNumberFormat="1" applyFont="1" applyFill="1"/>
    <xf numFmtId="0" fontId="11" fillId="9" borderId="11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2" fillId="12" borderId="11" xfId="2" applyFont="1" applyFill="1" applyBorder="1" applyAlignment="1">
      <alignment horizontal="center" vertical="center"/>
    </xf>
    <xf numFmtId="3" fontId="11" fillId="12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3" fontId="11" fillId="10" borderId="11" xfId="0" applyNumberFormat="1" applyFont="1" applyFill="1" applyBorder="1" applyAlignment="1">
      <alignment horizontal="center"/>
    </xf>
    <xf numFmtId="0" fontId="11" fillId="17" borderId="11" xfId="0" applyFont="1" applyFill="1" applyBorder="1" applyAlignment="1">
      <alignment horizontal="center"/>
    </xf>
    <xf numFmtId="3" fontId="11" fillId="17" borderId="11" xfId="0" applyNumberFormat="1" applyFont="1" applyFill="1" applyBorder="1" applyAlignment="1">
      <alignment horizontal="center"/>
    </xf>
    <xf numFmtId="4" fontId="11" fillId="17" borderId="11" xfId="0" applyNumberFormat="1" applyFont="1" applyFill="1" applyBorder="1" applyAlignment="1">
      <alignment horizontal="center"/>
    </xf>
    <xf numFmtId="0" fontId="11" fillId="0" borderId="0" xfId="0" applyFont="1"/>
    <xf numFmtId="3" fontId="11" fillId="9" borderId="11" xfId="0" applyNumberFormat="1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/>
    </xf>
    <xf numFmtId="4" fontId="10" fillId="12" borderId="11" xfId="0" applyNumberFormat="1" applyFont="1" applyFill="1" applyBorder="1" applyAlignment="1">
      <alignment horizontal="right"/>
    </xf>
    <xf numFmtId="4" fontId="11" fillId="12" borderId="11" xfId="0" applyNumberFormat="1" applyFont="1" applyFill="1" applyBorder="1" applyAlignment="1">
      <alignment horizontal="right"/>
    </xf>
    <xf numFmtId="10" fontId="10" fillId="12" borderId="11" xfId="0" applyNumberFormat="1" applyFont="1" applyFill="1" applyBorder="1" applyAlignment="1">
      <alignment horizontal="right"/>
    </xf>
    <xf numFmtId="4" fontId="10" fillId="12" borderId="11" xfId="0" applyNumberFormat="1" applyFont="1" applyFill="1" applyBorder="1"/>
    <xf numFmtId="10" fontId="10" fillId="0" borderId="11" xfId="0" applyNumberFormat="1" applyFont="1" applyBorder="1" applyAlignment="1">
      <alignment horizontal="right"/>
    </xf>
    <xf numFmtId="4" fontId="10" fillId="10" borderId="11" xfId="0" applyNumberFormat="1" applyFont="1" applyFill="1" applyBorder="1"/>
    <xf numFmtId="4" fontId="11" fillId="17" borderId="11" xfId="0" applyNumberFormat="1" applyFont="1" applyFill="1" applyBorder="1"/>
    <xf numFmtId="4" fontId="10" fillId="17" borderId="11" xfId="0" applyNumberFormat="1" applyFont="1" applyFill="1" applyBorder="1"/>
    <xf numFmtId="166" fontId="10" fillId="17" borderId="11" xfId="0" applyNumberFormat="1" applyFont="1" applyFill="1" applyBorder="1" applyAlignment="1">
      <alignment horizontal="center"/>
    </xf>
    <xf numFmtId="3" fontId="10" fillId="17" borderId="11" xfId="0" applyNumberFormat="1" applyFont="1" applyFill="1" applyBorder="1"/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/>
    <xf numFmtId="3" fontId="10" fillId="2" borderId="11" xfId="0" applyNumberFormat="1" applyFont="1" applyFill="1" applyBorder="1"/>
    <xf numFmtId="4" fontId="11" fillId="12" borderId="11" xfId="0" applyNumberFormat="1" applyFont="1" applyFill="1" applyBorder="1"/>
    <xf numFmtId="10" fontId="10" fillId="12" borderId="11" xfId="0" applyNumberFormat="1" applyFont="1" applyFill="1" applyBorder="1"/>
    <xf numFmtId="10" fontId="10" fillId="0" borderId="11" xfId="0" applyNumberFormat="1" applyFont="1" applyBorder="1"/>
    <xf numFmtId="0" fontId="10" fillId="12" borderId="11" xfId="0" applyFont="1" applyFill="1" applyBorder="1"/>
    <xf numFmtId="3" fontId="11" fillId="12" borderId="0" xfId="0" applyNumberFormat="1" applyFont="1" applyFill="1"/>
    <xf numFmtId="0" fontId="10" fillId="2" borderId="0" xfId="0" applyFont="1" applyFill="1"/>
    <xf numFmtId="4" fontId="11" fillId="12" borderId="0" xfId="0" applyNumberFormat="1" applyFont="1" applyFill="1"/>
    <xf numFmtId="3" fontId="10" fillId="0" borderId="0" xfId="0" applyNumberFormat="1" applyFont="1"/>
    <xf numFmtId="4" fontId="10" fillId="0" borderId="0" xfId="0" applyNumberFormat="1" applyFont="1"/>
    <xf numFmtId="9" fontId="10" fillId="0" borderId="0" xfId="1" applyFont="1"/>
    <xf numFmtId="0" fontId="3" fillId="0" borderId="0" xfId="0" applyFont="1"/>
    <xf numFmtId="14" fontId="6" fillId="0" borderId="14" xfId="5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8" borderId="11" xfId="2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4" fontId="8" fillId="0" borderId="42" xfId="2" applyNumberFormat="1" applyFont="1" applyBorder="1" applyAlignment="1">
      <alignment vertical="center"/>
    </xf>
    <xf numFmtId="43" fontId="6" fillId="0" borderId="5" xfId="2" applyNumberFormat="1" applyFont="1" applyBorder="1" applyAlignment="1">
      <alignment vertical="center"/>
    </xf>
    <xf numFmtId="0" fontId="4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vertical="center"/>
    </xf>
    <xf numFmtId="0" fontId="4" fillId="2" borderId="0" xfId="0" applyFont="1" applyFill="1"/>
    <xf numFmtId="10" fontId="6" fillId="10" borderId="11" xfId="1" applyNumberFormat="1" applyFont="1" applyFill="1" applyBorder="1" applyAlignment="1">
      <alignment horizontal="center" vertical="center"/>
    </xf>
    <xf numFmtId="0" fontId="6" fillId="11" borderId="0" xfId="2" applyFont="1" applyFill="1" applyAlignment="1">
      <alignment horizontal="center" vertical="center"/>
    </xf>
    <xf numFmtId="10" fontId="6" fillId="11" borderId="11" xfId="1" applyNumberFormat="1" applyFont="1" applyFill="1" applyBorder="1" applyAlignment="1">
      <alignment horizontal="center" vertical="center"/>
    </xf>
    <xf numFmtId="0" fontId="6" fillId="12" borderId="0" xfId="2" applyFont="1" applyFill="1" applyAlignment="1">
      <alignment horizontal="center" vertical="center"/>
    </xf>
    <xf numFmtId="10" fontId="6" fillId="12" borderId="11" xfId="1" applyNumberFormat="1" applyFont="1" applyFill="1" applyBorder="1" applyAlignment="1">
      <alignment horizontal="center" vertical="center"/>
    </xf>
    <xf numFmtId="0" fontId="6" fillId="10" borderId="11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2" borderId="11" xfId="2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/>
    </xf>
    <xf numFmtId="0" fontId="2" fillId="12" borderId="11" xfId="2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12" borderId="0" xfId="0" applyFont="1" applyFill="1" applyAlignment="1">
      <alignment horizontal="center"/>
    </xf>
    <xf numFmtId="0" fontId="11" fillId="12" borderId="0" xfId="0" applyFont="1" applyFill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1" applyNumberFormat="1" applyFont="1"/>
    <xf numFmtId="10" fontId="10" fillId="10" borderId="11" xfId="0" applyNumberFormat="1" applyFont="1" applyFill="1" applyBorder="1" applyAlignment="1">
      <alignment horizontal="right"/>
    </xf>
    <xf numFmtId="10" fontId="10" fillId="10" borderId="11" xfId="0" applyNumberFormat="1" applyFont="1" applyFill="1" applyBorder="1"/>
    <xf numFmtId="0" fontId="11" fillId="17" borderId="39" xfId="0" applyFont="1" applyFill="1" applyBorder="1" applyAlignment="1">
      <alignment horizontal="center"/>
    </xf>
    <xf numFmtId="10" fontId="10" fillId="17" borderId="39" xfId="0" applyNumberFormat="1" applyFont="1" applyFill="1" applyBorder="1" applyAlignment="1">
      <alignment horizontal="right"/>
    </xf>
    <xf numFmtId="10" fontId="10" fillId="17" borderId="39" xfId="0" applyNumberFormat="1" applyFont="1" applyFill="1" applyBorder="1"/>
    <xf numFmtId="0" fontId="11" fillId="10" borderId="41" xfId="0" applyFont="1" applyFill="1" applyBorder="1" applyAlignment="1">
      <alignment horizontal="center"/>
    </xf>
    <xf numFmtId="4" fontId="11" fillId="10" borderId="41" xfId="0" applyNumberFormat="1" applyFont="1" applyFill="1" applyBorder="1"/>
    <xf numFmtId="0" fontId="11" fillId="2" borderId="39" xfId="0" applyFont="1" applyFill="1" applyBorder="1"/>
    <xf numFmtId="0" fontId="11" fillId="2" borderId="40" xfId="0" applyFont="1" applyFill="1" applyBorder="1" applyAlignment="1">
      <alignment horizontal="center"/>
    </xf>
    <xf numFmtId="3" fontId="11" fillId="2" borderId="41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2" borderId="0" xfId="0" applyNumberFormat="1" applyFont="1" applyFill="1"/>
    <xf numFmtId="4" fontId="11" fillId="2" borderId="0" xfId="0" applyNumberFormat="1" applyFont="1" applyFill="1"/>
    <xf numFmtId="0" fontId="11" fillId="2" borderId="0" xfId="0" applyFont="1" applyFill="1"/>
    <xf numFmtId="4" fontId="10" fillId="2" borderId="0" xfId="0" applyNumberFormat="1" applyFont="1" applyFill="1"/>
    <xf numFmtId="3" fontId="11" fillId="2" borderId="0" xfId="0" applyNumberFormat="1" applyFont="1" applyFill="1"/>
    <xf numFmtId="4" fontId="11" fillId="12" borderId="5" xfId="0" applyNumberFormat="1" applyFont="1" applyFill="1" applyBorder="1"/>
    <xf numFmtId="3" fontId="11" fillId="10" borderId="6" xfId="0" applyNumberFormat="1" applyFont="1" applyFill="1" applyBorder="1"/>
    <xf numFmtId="3" fontId="11" fillId="17" borderId="43" xfId="0" applyNumberFormat="1" applyFont="1" applyFill="1" applyBorder="1"/>
    <xf numFmtId="0" fontId="13" fillId="0" borderId="0" xfId="2" applyFont="1" applyAlignment="1">
      <alignment horizontal="center" vertical="center"/>
    </xf>
    <xf numFmtId="0" fontId="11" fillId="9" borderId="39" xfId="0" applyFont="1" applyFill="1" applyBorder="1" applyAlignment="1">
      <alignment horizontal="center"/>
    </xf>
    <xf numFmtId="0" fontId="11" fillId="9" borderId="41" xfId="0" applyFont="1" applyFill="1" applyBorder="1" applyAlignment="1">
      <alignment horizontal="center"/>
    </xf>
  </cellXfs>
  <cellStyles count="7">
    <cellStyle name="Normal 2" xfId="2" xr:uid="{9F44E19C-2EB2-4BA5-A384-4AD69B5285D2}"/>
    <cellStyle name="Normal 3" xfId="5" xr:uid="{6268845D-8AD6-4A62-A56E-D1BCD9792DD8}"/>
    <cellStyle name="Normal 4" xfId="3" xr:uid="{EE41FC54-92E4-4C22-96C4-1BC0277A72A9}"/>
    <cellStyle name="เปอร์เซ็นต์" xfId="1" builtinId="5"/>
    <cellStyle name="เปอร์เซ็นต์ 3" xfId="6" xr:uid="{E3F01BF9-8F99-418B-8291-08AF9D67A2FD}"/>
    <cellStyle name="จุลภาค 3" xfId="4" xr:uid="{3A99F388-AA3D-4030-9100-9B0664823E0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W\++&#3621;&#3641;&#3585;&#3627;&#3609;&#3637;&#3657;&#3585;&#3634;&#3619;&#3588;&#3657;&#3634;%20&#3603;%2025.9.68%20----Origi%20origi.xlsx" TargetMode="External"/><Relationship Id="rId1" Type="http://schemas.openxmlformats.org/officeDocument/2006/relationships/externalLinkPath" Target="file:///C:\Users\admin\Desktop\W\++&#3621;&#3641;&#3585;&#3627;&#3609;&#3637;&#3657;&#3585;&#3634;&#3619;&#3588;&#3657;&#3634;%20&#3603;%2025.9.68%20----Origi%20ori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 Aging Report25.9.68"/>
      <sheetName val="AR Aging Report25.9.68 (2)"/>
      <sheetName val="ลูกค้า Co-Lending"/>
      <sheetName val="Sheet1"/>
      <sheetName val="ลูกหนี้ฟ้องร้อง"/>
      <sheetName val="มิลเลี่ยน 2"/>
      <sheetName val="มิลเลี่ยน 1"/>
      <sheetName val="ขอนแก่น"/>
      <sheetName val="PP+"/>
      <sheetName val="วิน วิน"/>
      <sheetName val="สกุณา"/>
      <sheetName val="พลาญชัย"/>
      <sheetName val="VIP 3"/>
      <sheetName val="VIP 2"/>
      <sheetName val="ไลฟ์"/>
      <sheetName val="นันทวรรณ 2"/>
      <sheetName val="นันทวรรณ 1"/>
      <sheetName val="TRT"/>
      <sheetName val="ออเร้นท์ 2"/>
      <sheetName val="ออเร้นท์ 1"/>
      <sheetName val="พราวเทค"/>
      <sheetName val="สำราญทรัพย์ 2"/>
      <sheetName val="สำราญทรัพย์ 1"/>
      <sheetName val="BCMA"/>
      <sheetName val="เพอร์เฟค"/>
      <sheetName val="ดีสตรอง"/>
      <sheetName val="VIP 1"/>
      <sheetName val="ชัยพร"/>
      <sheetName val="พีพี"/>
      <sheetName val="ไอซ์"/>
      <sheetName val="4M"/>
      <sheetName val="โปรเทคฟิลด์"/>
      <sheetName val="จส.2"/>
      <sheetName val="จส.1"/>
      <sheetName val="ภาคใต้"/>
      <sheetName val="โตโน่ 1"/>
      <sheetName val="โตโน่ 2"/>
      <sheetName val="ชุมพร"/>
      <sheetName val="โอเชี่ยนกรีน"/>
      <sheetName val="พีพีพลาสติก"/>
      <sheetName val="ออโรร่า ไรซ์"/>
      <sheetName val="SWOT"/>
      <sheetName val="สยามเอพีที"/>
      <sheetName val="เรวัฒน์"/>
      <sheetName val="โอ๊ตบริการ"/>
      <sheetName val="เปมิกา"/>
      <sheetName val="สุขุมวิท"/>
      <sheetName val="รัชดา"/>
      <sheetName val="เฮอริเทจ 1"/>
      <sheetName val="เฮอริเทจ 2"/>
      <sheetName val="อุดมทรัพย์"/>
    </sheetNames>
    <sheetDataSet>
      <sheetData sheetId="0"/>
      <sheetData sheetId="1"/>
      <sheetData sheetId="2">
        <row r="13">
          <cell r="AR13">
            <v>134124795.7332083</v>
          </cell>
        </row>
      </sheetData>
      <sheetData sheetId="3"/>
      <sheetData sheetId="4"/>
      <sheetData sheetId="5">
        <row r="5">
          <cell r="H5">
            <v>24640.467250000002</v>
          </cell>
        </row>
      </sheetData>
      <sheetData sheetId="6">
        <row r="5">
          <cell r="H5">
            <v>93421.8</v>
          </cell>
        </row>
        <row r="56">
          <cell r="F56">
            <v>3297240</v>
          </cell>
          <cell r="G56">
            <v>1187006.4000000011</v>
          </cell>
        </row>
      </sheetData>
      <sheetData sheetId="7">
        <row r="5">
          <cell r="H5">
            <v>239595.73333333334</v>
          </cell>
        </row>
        <row r="56">
          <cell r="F56">
            <v>8456319.9999999944</v>
          </cell>
          <cell r="G56">
            <v>3044275.1999999974</v>
          </cell>
        </row>
      </sheetData>
      <sheetData sheetId="8">
        <row r="5">
          <cell r="H5">
            <v>200933.33333333331</v>
          </cell>
        </row>
        <row r="56">
          <cell r="F56">
            <v>7040000.0000000047</v>
          </cell>
          <cell r="G56">
            <v>2604799.9999999995</v>
          </cell>
        </row>
      </sheetData>
      <sheetData sheetId="9">
        <row r="5">
          <cell r="H5">
            <v>143475.57291666669</v>
          </cell>
        </row>
        <row r="56">
          <cell r="F56">
            <v>5063843.75</v>
          </cell>
          <cell r="G56">
            <v>1822983.75</v>
          </cell>
        </row>
      </sheetData>
      <sheetData sheetId="10">
        <row r="3">
          <cell r="F3">
            <v>1903300</v>
          </cell>
        </row>
        <row r="5">
          <cell r="F5">
            <v>36</v>
          </cell>
          <cell r="H5">
            <v>65978.519742032688</v>
          </cell>
        </row>
        <row r="8">
          <cell r="B8">
            <v>44682</v>
          </cell>
          <cell r="C8">
            <v>65978.519742032688</v>
          </cell>
          <cell r="I8">
            <v>44712</v>
          </cell>
        </row>
        <row r="9">
          <cell r="C9">
            <v>65978.519742032688</v>
          </cell>
        </row>
        <row r="10">
          <cell r="C10">
            <v>65978.519742032688</v>
          </cell>
        </row>
        <row r="11">
          <cell r="C11">
            <v>65978.519742032688</v>
          </cell>
        </row>
        <row r="12">
          <cell r="C12">
            <v>65978.519742032688</v>
          </cell>
        </row>
        <row r="13">
          <cell r="C13">
            <v>65978.519742032688</v>
          </cell>
        </row>
        <row r="14">
          <cell r="C14">
            <v>65978.519742032688</v>
          </cell>
        </row>
        <row r="15">
          <cell r="C15">
            <v>65978.519742032688</v>
          </cell>
        </row>
        <row r="16">
          <cell r="C16">
            <v>65978.519742032688</v>
          </cell>
        </row>
        <row r="17">
          <cell r="C17">
            <v>65978.519742032688</v>
          </cell>
        </row>
        <row r="18">
          <cell r="C18">
            <v>65978.519742032688</v>
          </cell>
        </row>
        <row r="19">
          <cell r="C19">
            <v>65978.519742032688</v>
          </cell>
        </row>
        <row r="20">
          <cell r="C20">
            <v>65978.519742032688</v>
          </cell>
        </row>
        <row r="21">
          <cell r="C21">
            <v>65978.519742032688</v>
          </cell>
        </row>
        <row r="22">
          <cell r="C22">
            <v>65978.519742032688</v>
          </cell>
        </row>
        <row r="23">
          <cell r="C23">
            <v>65978.519742032688</v>
          </cell>
        </row>
        <row r="24">
          <cell r="C24">
            <v>65978.519742032688</v>
          </cell>
        </row>
        <row r="25">
          <cell r="C25">
            <v>65978.519742032688</v>
          </cell>
        </row>
        <row r="26">
          <cell r="C26">
            <v>65978.519742032688</v>
          </cell>
        </row>
        <row r="27">
          <cell r="C27">
            <v>65978.519742032688</v>
          </cell>
        </row>
        <row r="28">
          <cell r="C28">
            <v>65978.519742032688</v>
          </cell>
        </row>
        <row r="29">
          <cell r="C29">
            <v>65978.519742032688</v>
          </cell>
        </row>
        <row r="30">
          <cell r="C30">
            <v>65978.519742032688</v>
          </cell>
        </row>
        <row r="31">
          <cell r="C31">
            <v>65978.519742032688</v>
          </cell>
        </row>
        <row r="32">
          <cell r="C32">
            <v>65978.519742032688</v>
          </cell>
        </row>
        <row r="33">
          <cell r="C33">
            <v>65978.519742032688</v>
          </cell>
        </row>
        <row r="34">
          <cell r="C34">
            <v>65978.519742032688</v>
          </cell>
        </row>
        <row r="35">
          <cell r="C35">
            <v>65978.519742032688</v>
          </cell>
        </row>
        <row r="36">
          <cell r="C36">
            <v>65978.519742032688</v>
          </cell>
        </row>
        <row r="37">
          <cell r="C37">
            <v>65978.519742032688</v>
          </cell>
        </row>
        <row r="38">
          <cell r="C38">
            <v>65978.519742032688</v>
          </cell>
        </row>
        <row r="39">
          <cell r="C39">
            <v>65978.519742032688</v>
          </cell>
        </row>
        <row r="40">
          <cell r="C40">
            <v>65978.519742032688</v>
          </cell>
        </row>
        <row r="41">
          <cell r="C41">
            <v>65978.519742032688</v>
          </cell>
        </row>
        <row r="42">
          <cell r="C42">
            <v>65978.519742032688</v>
          </cell>
        </row>
        <row r="43">
          <cell r="C43">
            <v>65978.519742032688</v>
          </cell>
        </row>
        <row r="44">
          <cell r="G44">
            <v>471926.71071317652</v>
          </cell>
        </row>
        <row r="50">
          <cell r="I50">
            <v>736</v>
          </cell>
        </row>
      </sheetData>
      <sheetData sheetId="11">
        <row r="3">
          <cell r="F3">
            <v>6432000</v>
          </cell>
        </row>
        <row r="4">
          <cell r="F4">
            <v>9.7500000000000003E-2</v>
          </cell>
        </row>
        <row r="5">
          <cell r="F5">
            <v>60</v>
          </cell>
          <cell r="H5">
            <v>159460</v>
          </cell>
        </row>
        <row r="8">
          <cell r="B8">
            <v>45778</v>
          </cell>
          <cell r="L8">
            <v>45813</v>
          </cell>
        </row>
        <row r="12">
          <cell r="C12">
            <v>159460</v>
          </cell>
          <cell r="X12">
            <v>46</v>
          </cell>
        </row>
        <row r="68">
          <cell r="G68">
            <v>3135600</v>
          </cell>
        </row>
      </sheetData>
      <sheetData sheetId="12">
        <row r="3">
          <cell r="F3">
            <v>4248000</v>
          </cell>
        </row>
        <row r="5">
          <cell r="H5">
            <v>120360</v>
          </cell>
        </row>
        <row r="8">
          <cell r="B8">
            <v>45748</v>
          </cell>
          <cell r="C8">
            <v>120360</v>
          </cell>
        </row>
        <row r="9">
          <cell r="C9">
            <v>120360</v>
          </cell>
        </row>
        <row r="10">
          <cell r="C10">
            <v>120360</v>
          </cell>
        </row>
        <row r="11">
          <cell r="S11">
            <v>99763.43</v>
          </cell>
        </row>
        <row r="12">
          <cell r="C12">
            <v>120360</v>
          </cell>
          <cell r="X12">
            <v>103</v>
          </cell>
        </row>
        <row r="13">
          <cell r="C13">
            <v>120360</v>
          </cell>
        </row>
        <row r="56">
          <cell r="G56">
            <v>1529279.9639408798</v>
          </cell>
        </row>
      </sheetData>
      <sheetData sheetId="13">
        <row r="3">
          <cell r="F3">
            <v>2320000</v>
          </cell>
        </row>
        <row r="5">
          <cell r="H5">
            <v>65733.333333333343</v>
          </cell>
        </row>
        <row r="8">
          <cell r="B8">
            <v>45778</v>
          </cell>
          <cell r="C8">
            <v>65733.333333333343</v>
          </cell>
        </row>
        <row r="9">
          <cell r="C9">
            <v>65733.333333333343</v>
          </cell>
        </row>
        <row r="10">
          <cell r="C10">
            <v>65733.333333333343</v>
          </cell>
        </row>
        <row r="11">
          <cell r="C11">
            <v>65733.333333333328</v>
          </cell>
          <cell r="S11">
            <v>28797.706666666658</v>
          </cell>
        </row>
        <row r="12">
          <cell r="C12">
            <v>65733.333333333343</v>
          </cell>
          <cell r="S12">
            <v>70334.666666666672</v>
          </cell>
          <cell r="X12">
            <v>72</v>
          </cell>
        </row>
        <row r="56">
          <cell r="G56">
            <v>835200.00059579103</v>
          </cell>
        </row>
      </sheetData>
      <sheetData sheetId="14">
        <row r="5">
          <cell r="H5">
            <v>68822.038966666674</v>
          </cell>
        </row>
        <row r="8">
          <cell r="C8">
            <v>68822.038966666674</v>
          </cell>
        </row>
        <row r="9">
          <cell r="C9">
            <v>68822.038966666674</v>
          </cell>
        </row>
        <row r="10">
          <cell r="C10">
            <v>68822.038966666674</v>
          </cell>
        </row>
        <row r="11">
          <cell r="C11">
            <v>68822.038966666674</v>
          </cell>
        </row>
        <row r="12">
          <cell r="C12">
            <v>68822.038966666674</v>
          </cell>
          <cell r="X12">
            <v>61</v>
          </cell>
        </row>
        <row r="13">
          <cell r="C13">
            <v>68822.038966666674</v>
          </cell>
        </row>
        <row r="14">
          <cell r="C14">
            <v>68822.038966666674</v>
          </cell>
        </row>
        <row r="56">
          <cell r="G56">
            <v>874444.73039999988</v>
          </cell>
        </row>
      </sheetData>
      <sheetData sheetId="15"/>
      <sheetData sheetId="16">
        <row r="12">
          <cell r="C12">
            <v>161141.96875</v>
          </cell>
        </row>
        <row r="13">
          <cell r="C13">
            <v>161141.96875</v>
          </cell>
        </row>
        <row r="14">
          <cell r="C14">
            <v>161141.96875</v>
          </cell>
        </row>
        <row r="15">
          <cell r="C15">
            <v>161141.96875</v>
          </cell>
        </row>
        <row r="16">
          <cell r="C16">
            <v>161141.96875</v>
          </cell>
        </row>
        <row r="17">
          <cell r="C17">
            <v>161141.96875</v>
          </cell>
        </row>
        <row r="18">
          <cell r="C18">
            <v>161141.96875</v>
          </cell>
        </row>
        <row r="19">
          <cell r="C19">
            <v>161141.96875</v>
          </cell>
        </row>
        <row r="20">
          <cell r="C20">
            <v>161141.96875</v>
          </cell>
        </row>
        <row r="21">
          <cell r="C21">
            <v>161141.96875</v>
          </cell>
        </row>
        <row r="22">
          <cell r="C22">
            <v>161141.96875</v>
          </cell>
        </row>
        <row r="23">
          <cell r="C23">
            <v>161141.96875</v>
          </cell>
        </row>
        <row r="24">
          <cell r="C24">
            <v>161141.96875</v>
          </cell>
        </row>
        <row r="25">
          <cell r="C25">
            <v>161141.96875</v>
          </cell>
        </row>
        <row r="26">
          <cell r="C26">
            <v>161141.96875</v>
          </cell>
        </row>
        <row r="27">
          <cell r="C27">
            <v>161141.96875</v>
          </cell>
        </row>
        <row r="28">
          <cell r="C28">
            <v>161141.96875</v>
          </cell>
        </row>
        <row r="29">
          <cell r="C29">
            <v>161141.96875</v>
          </cell>
        </row>
        <row r="30">
          <cell r="C30">
            <v>161141.96875</v>
          </cell>
        </row>
        <row r="31">
          <cell r="C31">
            <v>161141.96875</v>
          </cell>
        </row>
        <row r="32">
          <cell r="C32">
            <v>161141.96875</v>
          </cell>
        </row>
        <row r="33">
          <cell r="C33">
            <v>161141.96875</v>
          </cell>
        </row>
        <row r="34">
          <cell r="C34">
            <v>161141.96875</v>
          </cell>
        </row>
        <row r="35">
          <cell r="C35">
            <v>161141.96875</v>
          </cell>
        </row>
        <row r="36">
          <cell r="C36">
            <v>161141.96875</v>
          </cell>
        </row>
        <row r="37">
          <cell r="C37">
            <v>161141.96875</v>
          </cell>
        </row>
        <row r="38">
          <cell r="C38">
            <v>161141.96875</v>
          </cell>
        </row>
        <row r="39">
          <cell r="C39">
            <v>161141.96875</v>
          </cell>
        </row>
        <row r="40">
          <cell r="C40">
            <v>161141.96875</v>
          </cell>
        </row>
        <row r="41">
          <cell r="C41">
            <v>161141.96875</v>
          </cell>
        </row>
        <row r="42">
          <cell r="C42">
            <v>161141.96875</v>
          </cell>
        </row>
        <row r="43">
          <cell r="C43">
            <v>161141.96875</v>
          </cell>
        </row>
        <row r="44">
          <cell r="C44">
            <v>161141.96875</v>
          </cell>
        </row>
        <row r="45">
          <cell r="C45">
            <v>161141.96875</v>
          </cell>
        </row>
        <row r="46">
          <cell r="C46">
            <v>161141.96875</v>
          </cell>
        </row>
        <row r="47">
          <cell r="C47">
            <v>161141.96875</v>
          </cell>
        </row>
        <row r="48">
          <cell r="C48">
            <v>161141.96875</v>
          </cell>
        </row>
        <row r="49">
          <cell r="C49">
            <v>161141.96875</v>
          </cell>
        </row>
        <row r="50">
          <cell r="C50">
            <v>161141.96875</v>
          </cell>
        </row>
        <row r="51">
          <cell r="C51">
            <v>161141.96875</v>
          </cell>
        </row>
        <row r="52">
          <cell r="C52">
            <v>161141.96875</v>
          </cell>
        </row>
        <row r="53">
          <cell r="C53">
            <v>161141.96875</v>
          </cell>
        </row>
        <row r="54">
          <cell r="C54">
            <v>161141.96875</v>
          </cell>
        </row>
        <row r="55">
          <cell r="C55">
            <v>161141.96875</v>
          </cell>
        </row>
      </sheetData>
      <sheetData sheetId="17">
        <row r="15">
          <cell r="C15">
            <v>27704.49</v>
          </cell>
        </row>
        <row r="16">
          <cell r="C16">
            <v>27704.49</v>
          </cell>
        </row>
        <row r="17">
          <cell r="C17">
            <v>27704.49</v>
          </cell>
        </row>
        <row r="18">
          <cell r="C18">
            <v>27704.49</v>
          </cell>
        </row>
        <row r="19">
          <cell r="C19">
            <v>27704.49</v>
          </cell>
        </row>
        <row r="20">
          <cell r="C20">
            <v>27704.49</v>
          </cell>
        </row>
        <row r="21">
          <cell r="C21">
            <v>27704.49</v>
          </cell>
        </row>
        <row r="22">
          <cell r="C22">
            <v>27704.49</v>
          </cell>
        </row>
        <row r="23">
          <cell r="C23">
            <v>27704.49</v>
          </cell>
        </row>
        <row r="24">
          <cell r="C24">
            <v>27704.49</v>
          </cell>
        </row>
        <row r="25">
          <cell r="C25">
            <v>27704.49</v>
          </cell>
        </row>
        <row r="26">
          <cell r="C26">
            <v>27704.49</v>
          </cell>
        </row>
        <row r="27">
          <cell r="C27">
            <v>27704.49</v>
          </cell>
        </row>
        <row r="28">
          <cell r="C28">
            <v>27704.49</v>
          </cell>
        </row>
        <row r="29">
          <cell r="C29">
            <v>27704.49</v>
          </cell>
        </row>
        <row r="30">
          <cell r="C30">
            <v>27704.49</v>
          </cell>
        </row>
        <row r="31">
          <cell r="C31">
            <v>27704.49</v>
          </cell>
        </row>
        <row r="32">
          <cell r="C32">
            <v>27704.49</v>
          </cell>
        </row>
        <row r="33">
          <cell r="C33">
            <v>27704.49</v>
          </cell>
        </row>
        <row r="34">
          <cell r="C34">
            <v>27704.49</v>
          </cell>
        </row>
        <row r="35">
          <cell r="C35">
            <v>27704.49</v>
          </cell>
        </row>
        <row r="36">
          <cell r="C36">
            <v>27704.49</v>
          </cell>
        </row>
        <row r="37">
          <cell r="C37">
            <v>27704.49</v>
          </cell>
        </row>
        <row r="38">
          <cell r="C38">
            <v>27704.49</v>
          </cell>
        </row>
        <row r="39">
          <cell r="C39">
            <v>27704.49</v>
          </cell>
        </row>
        <row r="40">
          <cell r="C40">
            <v>27704.49</v>
          </cell>
        </row>
        <row r="41">
          <cell r="C41">
            <v>27704.49</v>
          </cell>
        </row>
        <row r="42">
          <cell r="C42">
            <v>27704.49</v>
          </cell>
        </row>
        <row r="43">
          <cell r="C43">
            <v>27704.49</v>
          </cell>
        </row>
      </sheetData>
      <sheetData sheetId="18">
        <row r="8">
          <cell r="I8">
            <v>45581</v>
          </cell>
        </row>
        <row r="10">
          <cell r="C10">
            <v>83976.666666666672</v>
          </cell>
        </row>
        <row r="11">
          <cell r="C11">
            <v>83976.666666666672</v>
          </cell>
        </row>
        <row r="12">
          <cell r="C12">
            <v>83976.666666666672</v>
          </cell>
          <cell r="X12">
            <v>325</v>
          </cell>
        </row>
        <row r="13">
          <cell r="C13">
            <v>83976.666666666672</v>
          </cell>
        </row>
        <row r="14">
          <cell r="C14">
            <v>83976.666666666672</v>
          </cell>
        </row>
        <row r="15">
          <cell r="C15">
            <v>83976.666666666672</v>
          </cell>
        </row>
        <row r="16">
          <cell r="C16">
            <v>83976.666666666672</v>
          </cell>
        </row>
        <row r="17">
          <cell r="C17">
            <v>83976.666666666672</v>
          </cell>
        </row>
        <row r="18">
          <cell r="C18">
            <v>83976.666666666672</v>
          </cell>
        </row>
        <row r="19">
          <cell r="C19">
            <v>83976.666666666672</v>
          </cell>
        </row>
      </sheetData>
      <sheetData sheetId="19">
        <row r="12">
          <cell r="X12">
            <v>325</v>
          </cell>
        </row>
        <row r="13">
          <cell r="C13">
            <v>64351.7</v>
          </cell>
        </row>
        <row r="14">
          <cell r="C14">
            <v>64351.7</v>
          </cell>
        </row>
        <row r="15">
          <cell r="C15">
            <v>64351.7</v>
          </cell>
        </row>
      </sheetData>
      <sheetData sheetId="20"/>
      <sheetData sheetId="21">
        <row r="20">
          <cell r="C20">
            <v>127215.4635559936</v>
          </cell>
        </row>
      </sheetData>
      <sheetData sheetId="22">
        <row r="16">
          <cell r="S16">
            <v>413006.2</v>
          </cell>
        </row>
        <row r="17">
          <cell r="C17">
            <v>672448</v>
          </cell>
          <cell r="S17">
            <v>719519.36</v>
          </cell>
        </row>
        <row r="18">
          <cell r="C18">
            <v>672448</v>
          </cell>
          <cell r="S18">
            <v>719519.36</v>
          </cell>
        </row>
      </sheetData>
      <sheetData sheetId="23">
        <row r="2">
          <cell r="Q2">
            <v>263</v>
          </cell>
        </row>
        <row r="16">
          <cell r="S16">
            <v>20718.650832955533</v>
          </cell>
          <cell r="V16">
            <v>125643.01349690945</v>
          </cell>
        </row>
        <row r="17">
          <cell r="C17">
            <v>146361.66432986499</v>
          </cell>
        </row>
        <row r="18">
          <cell r="C18">
            <v>146361.66432986499</v>
          </cell>
        </row>
        <row r="19">
          <cell r="C19">
            <v>146361.66432986499</v>
          </cell>
        </row>
        <row r="20">
          <cell r="C20">
            <v>146361.66432986499</v>
          </cell>
        </row>
        <row r="21">
          <cell r="C21">
            <v>146361.66432986499</v>
          </cell>
        </row>
        <row r="22">
          <cell r="C22">
            <v>146361.66432986499</v>
          </cell>
        </row>
        <row r="23">
          <cell r="C23">
            <v>146361.66432986499</v>
          </cell>
        </row>
        <row r="24">
          <cell r="C24">
            <v>146361.66432986499</v>
          </cell>
        </row>
        <row r="25">
          <cell r="C25">
            <v>146361.66432986499</v>
          </cell>
        </row>
        <row r="26">
          <cell r="C26">
            <v>146361.66432986499</v>
          </cell>
        </row>
        <row r="27">
          <cell r="C27">
            <v>146361.66432986499</v>
          </cell>
        </row>
        <row r="28">
          <cell r="C28">
            <v>146361.66432986499</v>
          </cell>
        </row>
        <row r="29">
          <cell r="C29">
            <v>146361.66432986499</v>
          </cell>
        </row>
        <row r="30">
          <cell r="C30">
            <v>146361.66432986499</v>
          </cell>
        </row>
        <row r="31">
          <cell r="C31">
            <v>146361.66432986499</v>
          </cell>
        </row>
        <row r="32">
          <cell r="C32">
            <v>146361.66432986499</v>
          </cell>
        </row>
        <row r="33">
          <cell r="C33">
            <v>146361.66432986499</v>
          </cell>
        </row>
        <row r="34">
          <cell r="C34">
            <v>146361.66432986499</v>
          </cell>
        </row>
        <row r="35">
          <cell r="C35">
            <v>146361.66432986499</v>
          </cell>
        </row>
        <row r="36">
          <cell r="C36">
            <v>146361.66432986499</v>
          </cell>
        </row>
        <row r="37">
          <cell r="C37">
            <v>146361.66432986499</v>
          </cell>
        </row>
        <row r="38">
          <cell r="C38">
            <v>146361.66432986499</v>
          </cell>
        </row>
        <row r="39">
          <cell r="C39">
            <v>146361.66432986499</v>
          </cell>
        </row>
        <row r="40">
          <cell r="C40">
            <v>146361.66432986499</v>
          </cell>
        </row>
        <row r="41">
          <cell r="C41">
            <v>146361.66432986499</v>
          </cell>
        </row>
        <row r="42">
          <cell r="C42">
            <v>146361.66432986499</v>
          </cell>
        </row>
        <row r="43">
          <cell r="C43">
            <v>146361.66432986499</v>
          </cell>
        </row>
        <row r="44">
          <cell r="C44">
            <v>146361.66432986499</v>
          </cell>
        </row>
        <row r="45">
          <cell r="C45">
            <v>146361.66432986499</v>
          </cell>
        </row>
        <row r="46">
          <cell r="C46">
            <v>146361.66432986499</v>
          </cell>
        </row>
        <row r="47">
          <cell r="C47">
            <v>146361.66432986499</v>
          </cell>
        </row>
        <row r="48">
          <cell r="C48">
            <v>146361.66432986499</v>
          </cell>
        </row>
        <row r="49">
          <cell r="C49">
            <v>146361.66432986499</v>
          </cell>
        </row>
        <row r="50">
          <cell r="C50">
            <v>146361.66432986499</v>
          </cell>
        </row>
        <row r="51">
          <cell r="C51">
            <v>146361.66432986499</v>
          </cell>
        </row>
        <row r="52">
          <cell r="C52">
            <v>146361.66432986499</v>
          </cell>
        </row>
        <row r="53">
          <cell r="C53">
            <v>146361.66432986499</v>
          </cell>
        </row>
        <row r="54">
          <cell r="C54">
            <v>146361.66432986499</v>
          </cell>
        </row>
        <row r="55">
          <cell r="C55">
            <v>146361.66432986499</v>
          </cell>
        </row>
      </sheetData>
      <sheetData sheetId="24">
        <row r="3">
          <cell r="F3">
            <v>1556054.7397230954</v>
          </cell>
        </row>
        <row r="4">
          <cell r="N4">
            <v>61</v>
          </cell>
        </row>
        <row r="5">
          <cell r="H5">
            <v>39292.638027134402</v>
          </cell>
        </row>
        <row r="63">
          <cell r="G63">
            <v>605040.35176929669</v>
          </cell>
        </row>
      </sheetData>
      <sheetData sheetId="25"/>
      <sheetData sheetId="26">
        <row r="3">
          <cell r="L3">
            <v>61</v>
          </cell>
        </row>
        <row r="5">
          <cell r="H5">
            <v>46964.75</v>
          </cell>
        </row>
      </sheetData>
      <sheetData sheetId="27">
        <row r="3">
          <cell r="L3">
            <v>123</v>
          </cell>
        </row>
        <row r="8">
          <cell r="C8">
            <v>334187.572400701</v>
          </cell>
        </row>
        <row r="9">
          <cell r="C9">
            <v>334187.572400701</v>
          </cell>
        </row>
        <row r="10">
          <cell r="C10">
            <v>334187.572400701</v>
          </cell>
        </row>
        <row r="11">
          <cell r="C11">
            <v>334187.572400701</v>
          </cell>
        </row>
        <row r="12">
          <cell r="C12">
            <v>334187.572400701</v>
          </cell>
        </row>
        <row r="13">
          <cell r="C13">
            <v>334187.572400701</v>
          </cell>
        </row>
        <row r="14">
          <cell r="C14">
            <v>334187.572400701</v>
          </cell>
        </row>
        <row r="15">
          <cell r="C15">
            <v>334187.572400701</v>
          </cell>
        </row>
        <row r="16">
          <cell r="C16">
            <v>334187.572400701</v>
          </cell>
        </row>
        <row r="17">
          <cell r="C17">
            <v>334187.572400701</v>
          </cell>
        </row>
        <row r="18">
          <cell r="C18">
            <v>334187.572400701</v>
          </cell>
          <cell r="S18">
            <v>2.4687500554136932E-3</v>
          </cell>
        </row>
        <row r="20">
          <cell r="C20">
            <v>334187.572400701</v>
          </cell>
        </row>
        <row r="21">
          <cell r="C21">
            <v>334187.572400701</v>
          </cell>
        </row>
        <row r="22">
          <cell r="C22">
            <v>334187.572400701</v>
          </cell>
        </row>
      </sheetData>
      <sheetData sheetId="28">
        <row r="4">
          <cell r="L4">
            <v>549</v>
          </cell>
        </row>
        <row r="9">
          <cell r="C9">
            <v>252788.68439651511</v>
          </cell>
        </row>
        <row r="10">
          <cell r="C10">
            <v>252788.68439651511</v>
          </cell>
        </row>
        <row r="11">
          <cell r="C11">
            <v>252788.68439651511</v>
          </cell>
        </row>
        <row r="12">
          <cell r="C12">
            <v>252788.68439651511</v>
          </cell>
        </row>
        <row r="13">
          <cell r="C13">
            <v>252788.68439651511</v>
          </cell>
        </row>
        <row r="14">
          <cell r="C14">
            <v>252788.68439651511</v>
          </cell>
        </row>
        <row r="15">
          <cell r="C15">
            <v>252788.68439651511</v>
          </cell>
        </row>
        <row r="16">
          <cell r="C16">
            <v>252788.68439651511</v>
          </cell>
        </row>
        <row r="17">
          <cell r="C17">
            <v>252788.68439651511</v>
          </cell>
        </row>
        <row r="18">
          <cell r="C18">
            <v>252788.68439651511</v>
          </cell>
        </row>
        <row r="19">
          <cell r="C19">
            <v>252788.68439651511</v>
          </cell>
        </row>
        <row r="20">
          <cell r="C20">
            <v>252788.68439651511</v>
          </cell>
        </row>
        <row r="21">
          <cell r="C21">
            <v>252788.68439651511</v>
          </cell>
        </row>
        <row r="22">
          <cell r="C22">
            <v>252788.68439651511</v>
          </cell>
        </row>
        <row r="23">
          <cell r="C23">
            <v>252788.68439651511</v>
          </cell>
        </row>
        <row r="24">
          <cell r="C24">
            <v>252788.68439651511</v>
          </cell>
        </row>
        <row r="25">
          <cell r="C25">
            <v>252788.68439651511</v>
          </cell>
        </row>
      </sheetData>
      <sheetData sheetId="29"/>
      <sheetData sheetId="30"/>
      <sheetData sheetId="31"/>
      <sheetData sheetId="32"/>
      <sheetData sheetId="33"/>
      <sheetData sheetId="34">
        <row r="3">
          <cell r="L3">
            <v>72</v>
          </cell>
        </row>
        <row r="31">
          <cell r="C31">
            <v>60664.236111111109</v>
          </cell>
        </row>
        <row r="32">
          <cell r="C32">
            <v>60664.236111111109</v>
          </cell>
        </row>
      </sheetData>
      <sheetData sheetId="35">
        <row r="2">
          <cell r="K2">
            <v>284</v>
          </cell>
        </row>
        <row r="8">
          <cell r="C8">
            <v>55210.51175125</v>
          </cell>
        </row>
        <row r="9">
          <cell r="C9">
            <v>55210.51175125</v>
          </cell>
        </row>
        <row r="10">
          <cell r="C10">
            <v>55210.51175125</v>
          </cell>
        </row>
        <row r="11">
          <cell r="C11">
            <v>55210.51175125</v>
          </cell>
        </row>
        <row r="12">
          <cell r="C12">
            <v>55210.51175125</v>
          </cell>
        </row>
        <row r="13">
          <cell r="C13">
            <v>55210.51175125</v>
          </cell>
        </row>
        <row r="14">
          <cell r="C14">
            <v>55210.51175125</v>
          </cell>
        </row>
        <row r="15">
          <cell r="C15">
            <v>55210.51175125</v>
          </cell>
        </row>
        <row r="16">
          <cell r="C16">
            <v>55210.51175125</v>
          </cell>
        </row>
        <row r="17">
          <cell r="C17">
            <v>55210.51175125</v>
          </cell>
        </row>
      </sheetData>
      <sheetData sheetId="36">
        <row r="3">
          <cell r="L3">
            <v>253</v>
          </cell>
        </row>
        <row r="10">
          <cell r="C10">
            <v>16250</v>
          </cell>
        </row>
        <row r="11">
          <cell r="C11">
            <v>16250</v>
          </cell>
        </row>
        <row r="12">
          <cell r="C12">
            <v>16250</v>
          </cell>
        </row>
        <row r="13">
          <cell r="C13">
            <v>16250</v>
          </cell>
        </row>
        <row r="14">
          <cell r="C14">
            <v>16250</v>
          </cell>
        </row>
        <row r="15">
          <cell r="C15">
            <v>16250</v>
          </cell>
        </row>
        <row r="16">
          <cell r="C16">
            <v>16250</v>
          </cell>
        </row>
        <row r="17">
          <cell r="C17">
            <v>16250</v>
          </cell>
        </row>
      </sheetData>
      <sheetData sheetId="37">
        <row r="3">
          <cell r="L3">
            <v>823</v>
          </cell>
        </row>
        <row r="8">
          <cell r="C8">
            <v>153492.08205887821</v>
          </cell>
        </row>
        <row r="9">
          <cell r="C9">
            <v>153492.08205887821</v>
          </cell>
        </row>
        <row r="10">
          <cell r="C10">
            <v>153492.08205887821</v>
          </cell>
          <cell r="S10">
            <v>123835.60780299969</v>
          </cell>
        </row>
        <row r="11">
          <cell r="C11">
            <v>153492.08205887821</v>
          </cell>
        </row>
        <row r="12">
          <cell r="C12">
            <v>153492.08205887821</v>
          </cell>
        </row>
        <row r="13">
          <cell r="C13">
            <v>153492.08205887821</v>
          </cell>
        </row>
        <row r="14">
          <cell r="C14">
            <v>153492.08205887821</v>
          </cell>
        </row>
        <row r="15">
          <cell r="C15">
            <v>153492.08205887821</v>
          </cell>
        </row>
        <row r="16">
          <cell r="C16">
            <v>153492.08205887821</v>
          </cell>
        </row>
        <row r="17">
          <cell r="C17">
            <v>153492.08205887821</v>
          </cell>
        </row>
        <row r="18">
          <cell r="C18">
            <v>153492.08205887821</v>
          </cell>
        </row>
        <row r="19">
          <cell r="C19">
            <v>153492.08205887821</v>
          </cell>
        </row>
        <row r="20">
          <cell r="C20">
            <v>153492.08205887821</v>
          </cell>
        </row>
        <row r="21">
          <cell r="C21">
            <v>153492.08205887821</v>
          </cell>
        </row>
        <row r="22">
          <cell r="C22">
            <v>153492.08205887821</v>
          </cell>
        </row>
        <row r="23">
          <cell r="C23">
            <v>153492.08205887821</v>
          </cell>
        </row>
        <row r="24">
          <cell r="C24">
            <v>153492.08205887821</v>
          </cell>
        </row>
        <row r="25">
          <cell r="C25">
            <v>153492.08205887821</v>
          </cell>
        </row>
        <row r="26">
          <cell r="C26">
            <v>153492.08205887821</v>
          </cell>
        </row>
        <row r="27">
          <cell r="C27">
            <v>153492.08205887821</v>
          </cell>
        </row>
        <row r="28">
          <cell r="C28">
            <v>153492.08205887821</v>
          </cell>
        </row>
        <row r="29">
          <cell r="C29">
            <v>153492.08205887821</v>
          </cell>
        </row>
        <row r="30">
          <cell r="C30">
            <v>153492.08205887821</v>
          </cell>
        </row>
        <row r="31">
          <cell r="C31">
            <v>153492.08205887821</v>
          </cell>
        </row>
        <row r="32">
          <cell r="C32">
            <v>153492.08205887821</v>
          </cell>
        </row>
        <row r="33">
          <cell r="C33">
            <v>153492.08205887821</v>
          </cell>
        </row>
        <row r="34">
          <cell r="C34">
            <v>153492.08205887821</v>
          </cell>
        </row>
        <row r="35">
          <cell r="C35">
            <v>153492.08205887821</v>
          </cell>
        </row>
      </sheetData>
      <sheetData sheetId="38">
        <row r="3">
          <cell r="L3">
            <v>584</v>
          </cell>
        </row>
        <row r="8">
          <cell r="C8">
            <v>321588.94075000001</v>
          </cell>
        </row>
        <row r="9">
          <cell r="C9">
            <v>321588.94075000001</v>
          </cell>
        </row>
        <row r="10">
          <cell r="C10">
            <v>321588.94075000001</v>
          </cell>
        </row>
        <row r="11">
          <cell r="C11">
            <v>321588.94075000001</v>
          </cell>
        </row>
        <row r="12">
          <cell r="C12">
            <v>321588.94075000001</v>
          </cell>
        </row>
        <row r="13">
          <cell r="C13">
            <v>321588.94075000001</v>
          </cell>
        </row>
        <row r="14">
          <cell r="C14">
            <v>321588.94075000001</v>
          </cell>
        </row>
        <row r="15">
          <cell r="C15">
            <v>321588.94075000001</v>
          </cell>
        </row>
        <row r="16">
          <cell r="C16">
            <v>321588.94075000001</v>
          </cell>
        </row>
        <row r="17">
          <cell r="C17">
            <v>321588.94075000001</v>
          </cell>
        </row>
        <row r="18">
          <cell r="C18">
            <v>321588.94075000001</v>
          </cell>
        </row>
        <row r="19">
          <cell r="C19">
            <v>321588.94075000001</v>
          </cell>
        </row>
        <row r="20">
          <cell r="C20">
            <v>321588.94075000001</v>
          </cell>
        </row>
        <row r="21">
          <cell r="C21">
            <v>321588.94075000001</v>
          </cell>
        </row>
        <row r="22">
          <cell r="C22">
            <v>321588.94075000001</v>
          </cell>
        </row>
        <row r="23">
          <cell r="C23">
            <v>321588.94075000001</v>
          </cell>
        </row>
        <row r="24">
          <cell r="C24">
            <v>321588.94075000001</v>
          </cell>
        </row>
        <row r="25">
          <cell r="C25">
            <v>321588.94075000001</v>
          </cell>
        </row>
        <row r="26">
          <cell r="C26">
            <v>321588.94075000001</v>
          </cell>
          <cell r="S26">
            <v>40338.916602500016</v>
          </cell>
        </row>
        <row r="27">
          <cell r="C27">
            <v>321588.94075000001</v>
          </cell>
        </row>
        <row r="28">
          <cell r="C28">
            <v>321588.94075000001</v>
          </cell>
        </row>
        <row r="29">
          <cell r="C29">
            <v>321588.94075000001</v>
          </cell>
        </row>
        <row r="30">
          <cell r="C30">
            <v>321588.94075000001</v>
          </cell>
        </row>
        <row r="31">
          <cell r="C31">
            <v>321588.94075000001</v>
          </cell>
        </row>
        <row r="32">
          <cell r="C32">
            <v>321588.94075000001</v>
          </cell>
        </row>
        <row r="33">
          <cell r="C33">
            <v>321588.94075000001</v>
          </cell>
        </row>
        <row r="34">
          <cell r="C34">
            <v>321588.94075000001</v>
          </cell>
        </row>
        <row r="35">
          <cell r="C35">
            <v>321588.94075000001</v>
          </cell>
        </row>
        <row r="36">
          <cell r="C36">
            <v>321588.94075000001</v>
          </cell>
        </row>
        <row r="37">
          <cell r="C37">
            <v>321588.94075000001</v>
          </cell>
        </row>
        <row r="38">
          <cell r="C38">
            <v>321588.94075000001</v>
          </cell>
        </row>
        <row r="39">
          <cell r="C39">
            <v>321588.94075000001</v>
          </cell>
        </row>
        <row r="40">
          <cell r="C40">
            <v>321588.94075000001</v>
          </cell>
        </row>
        <row r="41">
          <cell r="C41">
            <v>321588.94075000001</v>
          </cell>
        </row>
        <row r="42">
          <cell r="C42">
            <v>321588.94075000001</v>
          </cell>
        </row>
        <row r="43">
          <cell r="C43">
            <v>321588.94075000001</v>
          </cell>
        </row>
      </sheetData>
      <sheetData sheetId="39"/>
      <sheetData sheetId="40">
        <row r="5">
          <cell r="H5">
            <v>24333.662541666668</v>
          </cell>
        </row>
        <row r="8">
          <cell r="C8">
            <v>24333.662541666668</v>
          </cell>
        </row>
        <row r="9">
          <cell r="C9">
            <v>24333.662541666668</v>
          </cell>
        </row>
        <row r="10">
          <cell r="C10">
            <v>24333.662541666668</v>
          </cell>
        </row>
        <row r="32">
          <cell r="F32">
            <v>494921.95000000013</v>
          </cell>
          <cell r="G32">
            <v>89085.951000000015</v>
          </cell>
        </row>
      </sheetData>
      <sheetData sheetId="41">
        <row r="8">
          <cell r="C8">
            <v>48759.470962866384</v>
          </cell>
        </row>
        <row r="9">
          <cell r="C9">
            <v>48759.470962866384</v>
          </cell>
        </row>
        <row r="10">
          <cell r="C10">
            <v>48759.470962866384</v>
          </cell>
        </row>
        <row r="11">
          <cell r="C11">
            <v>48759.470962866384</v>
          </cell>
        </row>
        <row r="12">
          <cell r="C12">
            <v>48759.470962866384</v>
          </cell>
        </row>
        <row r="13">
          <cell r="C13">
            <v>48759.470962866384</v>
          </cell>
        </row>
        <row r="14">
          <cell r="C14">
            <v>48759.470962866384</v>
          </cell>
        </row>
        <row r="15">
          <cell r="C15">
            <v>48759.470962866384</v>
          </cell>
        </row>
        <row r="16">
          <cell r="C16">
            <v>48759.470962866384</v>
          </cell>
        </row>
        <row r="17">
          <cell r="C17">
            <v>48759.470962866384</v>
          </cell>
        </row>
        <row r="18">
          <cell r="C18">
            <v>48759.470962866384</v>
          </cell>
        </row>
        <row r="19">
          <cell r="C19">
            <v>48759.470962866384</v>
          </cell>
        </row>
        <row r="20">
          <cell r="C20">
            <v>48759.470962866384</v>
          </cell>
        </row>
        <row r="21">
          <cell r="C21">
            <v>48759.470962866384</v>
          </cell>
        </row>
        <row r="22">
          <cell r="C22">
            <v>48759.470962866384</v>
          </cell>
        </row>
        <row r="23">
          <cell r="C23">
            <v>48759.470962866384</v>
          </cell>
        </row>
        <row r="24">
          <cell r="C24">
            <v>48759.470962866384</v>
          </cell>
        </row>
        <row r="25">
          <cell r="C25">
            <v>48759.470962866384</v>
          </cell>
        </row>
        <row r="26">
          <cell r="C26">
            <v>48759.470962866384</v>
          </cell>
        </row>
        <row r="27">
          <cell r="C27">
            <v>48759.470962866384</v>
          </cell>
        </row>
        <row r="28">
          <cell r="C28">
            <v>48759.470962866384</v>
          </cell>
        </row>
        <row r="29">
          <cell r="C29">
            <v>48759.470962866384</v>
          </cell>
        </row>
        <row r="30">
          <cell r="C30">
            <v>48759.470962866384</v>
          </cell>
        </row>
        <row r="31">
          <cell r="C31">
            <v>48759.470962866384</v>
          </cell>
        </row>
        <row r="32">
          <cell r="C32">
            <v>48759.470962866384</v>
          </cell>
        </row>
        <row r="33">
          <cell r="C33">
            <v>48759.470962866384</v>
          </cell>
        </row>
        <row r="34">
          <cell r="C34">
            <v>48759.470962866384</v>
          </cell>
        </row>
        <row r="35">
          <cell r="C35">
            <v>48759.470962866384</v>
          </cell>
        </row>
        <row r="36">
          <cell r="C36">
            <v>48759.470962866384</v>
          </cell>
        </row>
        <row r="37">
          <cell r="C37">
            <v>48759.470962866384</v>
          </cell>
        </row>
        <row r="38">
          <cell r="C38">
            <v>48759.470962866384</v>
          </cell>
        </row>
        <row r="39">
          <cell r="C39">
            <v>48759.470962866384</v>
          </cell>
        </row>
        <row r="40">
          <cell r="C40">
            <v>48759.470962866384</v>
          </cell>
        </row>
        <row r="41">
          <cell r="C41">
            <v>48759.470962866384</v>
          </cell>
          <cell r="F41">
            <v>40470.028161865332</v>
          </cell>
          <cell r="G41">
            <v>8289.4428010010506</v>
          </cell>
        </row>
        <row r="42">
          <cell r="C42">
            <v>48759.470962866384</v>
          </cell>
          <cell r="F42">
            <v>40975.903513888654</v>
          </cell>
          <cell r="G42">
            <v>7783.5674489777339</v>
          </cell>
          <cell r="S42">
            <v>25296.55393026703</v>
          </cell>
        </row>
        <row r="43">
          <cell r="C43">
            <v>48759.470962866384</v>
          </cell>
          <cell r="F43">
            <v>41488.10230781226</v>
          </cell>
          <cell r="G43">
            <v>7271.3686550541252</v>
          </cell>
        </row>
        <row r="44">
          <cell r="C44">
            <v>48759.470962866384</v>
          </cell>
        </row>
        <row r="45">
          <cell r="C45">
            <v>48759.470962866384</v>
          </cell>
        </row>
        <row r="46">
          <cell r="C46">
            <v>48759.470962866384</v>
          </cell>
        </row>
        <row r="47">
          <cell r="C47">
            <v>48759.470962866384</v>
          </cell>
        </row>
        <row r="56">
          <cell r="F56">
            <v>1752000.0000000005</v>
          </cell>
          <cell r="G56">
            <v>588454.60621758632</v>
          </cell>
        </row>
      </sheetData>
      <sheetData sheetId="42">
        <row r="5">
          <cell r="H5">
            <v>27056.502887461058</v>
          </cell>
        </row>
        <row r="68">
          <cell r="F68">
            <v>1091354.7383177576</v>
          </cell>
          <cell r="G68">
            <v>532035.43492990697</v>
          </cell>
        </row>
      </sheetData>
      <sheetData sheetId="43">
        <row r="8">
          <cell r="F8">
            <v>6982.0784788211531</v>
          </cell>
          <cell r="G8">
            <v>3937.5</v>
          </cell>
        </row>
        <row r="9">
          <cell r="F9">
            <v>7069.3544598064182</v>
          </cell>
          <cell r="G9">
            <v>3850.2240190147354</v>
          </cell>
        </row>
        <row r="10">
          <cell r="F10">
            <v>7157.7213905539975</v>
          </cell>
          <cell r="G10">
            <v>3761.8570882671556</v>
          </cell>
        </row>
        <row r="11">
          <cell r="F11">
            <v>7247.1929079359215</v>
          </cell>
          <cell r="G11">
            <v>3672.3855708852311</v>
          </cell>
        </row>
        <row r="12">
          <cell r="F12">
            <v>7337.7828192851211</v>
          </cell>
          <cell r="G12">
            <v>3581.7956595360315</v>
          </cell>
        </row>
        <row r="13">
          <cell r="F13">
            <v>7429.5051045261862</v>
          </cell>
          <cell r="G13">
            <v>3490.0733742949674</v>
          </cell>
        </row>
        <row r="14">
          <cell r="F14">
            <v>7522.3739183327634</v>
          </cell>
          <cell r="G14">
            <v>3397.2045604883901</v>
          </cell>
        </row>
        <row r="15">
          <cell r="F15">
            <v>7616.4035923119227</v>
          </cell>
          <cell r="G15">
            <v>3303.1748865092309</v>
          </cell>
        </row>
        <row r="16">
          <cell r="F16">
            <v>7711.6086372158206</v>
          </cell>
          <cell r="G16">
            <v>3207.969841605332</v>
          </cell>
        </row>
        <row r="17">
          <cell r="F17">
            <v>7808.0037451810185</v>
          </cell>
          <cell r="G17">
            <v>3111.5747336401341</v>
          </cell>
        </row>
        <row r="18">
          <cell r="F18">
            <v>7905.6037919957816</v>
          </cell>
          <cell r="G18">
            <v>3013.9746868253715</v>
          </cell>
        </row>
        <row r="19">
          <cell r="F19">
            <v>8004.4238393957294</v>
          </cell>
          <cell r="G19">
            <v>2915.1546394254237</v>
          </cell>
        </row>
        <row r="20">
          <cell r="F20">
            <v>8104.4791373881762</v>
          </cell>
          <cell r="G20">
            <v>2815.0993414329773</v>
          </cell>
        </row>
        <row r="21">
          <cell r="F21">
            <v>8205.7851266055277</v>
          </cell>
          <cell r="G21">
            <v>2713.7933522156254</v>
          </cell>
        </row>
        <row r="22">
          <cell r="F22">
            <v>8308.357440688098</v>
          </cell>
          <cell r="G22">
            <v>2611.221038133056</v>
          </cell>
        </row>
        <row r="23">
          <cell r="F23">
            <v>8412.2119086966977</v>
          </cell>
          <cell r="G23">
            <v>2507.3665701244549</v>
          </cell>
        </row>
        <row r="24">
          <cell r="F24">
            <v>8517.3645575554074</v>
          </cell>
          <cell r="G24">
            <v>2402.2139212657462</v>
          </cell>
        </row>
        <row r="25">
          <cell r="F25">
            <v>8623.83161452485</v>
          </cell>
          <cell r="G25">
            <v>2295.7468642963036</v>
          </cell>
        </row>
        <row r="26">
          <cell r="F26">
            <v>8731.6295097064103</v>
          </cell>
          <cell r="G26">
            <v>2187.9489691147432</v>
          </cell>
        </row>
        <row r="27">
          <cell r="F27">
            <v>8840.7748785777403</v>
          </cell>
          <cell r="G27">
            <v>2078.8036002434133</v>
          </cell>
        </row>
        <row r="28">
          <cell r="F28">
            <v>8951.2845645599627</v>
          </cell>
          <cell r="G28">
            <v>1968.2939142611913</v>
          </cell>
        </row>
        <row r="29">
          <cell r="F29">
            <v>9063.1756216169615</v>
          </cell>
          <cell r="G29">
            <v>1856.4028572041918</v>
          </cell>
        </row>
        <row r="30">
          <cell r="F30">
            <v>9176.4653168871737</v>
          </cell>
          <cell r="G30">
            <v>1743.1131619339797</v>
          </cell>
        </row>
        <row r="31">
          <cell r="F31">
            <v>9291.1711333482635</v>
          </cell>
          <cell r="G31">
            <v>1628.4073454728903</v>
          </cell>
        </row>
        <row r="32">
          <cell r="F32">
            <v>9407.3107725151167</v>
          </cell>
          <cell r="G32">
            <v>1512.2677063060366</v>
          </cell>
        </row>
        <row r="33">
          <cell r="F33">
            <v>9524.9021571715548</v>
          </cell>
          <cell r="G33">
            <v>1394.6763216495976</v>
          </cell>
        </row>
        <row r="34">
          <cell r="F34">
            <v>9643.9634341361998</v>
          </cell>
          <cell r="G34">
            <v>1275.6150446849533</v>
          </cell>
        </row>
        <row r="35">
          <cell r="F35">
            <v>9764.5129770629028</v>
          </cell>
          <cell r="G35">
            <v>1155.0655017582508</v>
          </cell>
        </row>
        <row r="36">
          <cell r="F36">
            <v>9886.5693892761883</v>
          </cell>
          <cell r="G36">
            <v>1033.0090895449646</v>
          </cell>
        </row>
        <row r="37">
          <cell r="F37">
            <v>10010.151506642142</v>
          </cell>
          <cell r="G37">
            <v>909.4269721790123</v>
          </cell>
        </row>
        <row r="38">
          <cell r="F38">
            <v>10135.278400475168</v>
          </cell>
          <cell r="G38">
            <v>784.30007834598553</v>
          </cell>
        </row>
        <row r="39">
          <cell r="F39">
            <v>10261.969380481107</v>
          </cell>
          <cell r="G39">
            <v>657.60909834004588</v>
          </cell>
        </row>
        <row r="40">
          <cell r="F40">
            <v>10390.243997737121</v>
          </cell>
          <cell r="G40">
            <v>529.33448108403206</v>
          </cell>
        </row>
        <row r="41">
          <cell r="F41">
            <v>10520.122047708835</v>
          </cell>
          <cell r="G41">
            <v>399.45643111231806</v>
          </cell>
        </row>
        <row r="42">
          <cell r="F42">
            <v>10651.623573305196</v>
          </cell>
          <cell r="G42">
            <v>267.95490551595759</v>
          </cell>
        </row>
        <row r="43">
          <cell r="F43">
            <v>10784.76886797151</v>
          </cell>
          <cell r="G43">
            <v>134.80961084964267</v>
          </cell>
        </row>
        <row r="49">
          <cell r="I49">
            <v>462</v>
          </cell>
        </row>
      </sheetData>
      <sheetData sheetId="44">
        <row r="8">
          <cell r="F8">
            <v>13964.156957642306</v>
          </cell>
          <cell r="G8">
            <v>7875</v>
          </cell>
        </row>
        <row r="9">
          <cell r="F9">
            <v>14138.708919612836</v>
          </cell>
          <cell r="G9">
            <v>7700.4480380294708</v>
          </cell>
        </row>
        <row r="10">
          <cell r="F10">
            <v>14315.442781107995</v>
          </cell>
          <cell r="G10">
            <v>7523.7141765343113</v>
          </cell>
        </row>
        <row r="11">
          <cell r="F11">
            <v>14494.385815871843</v>
          </cell>
          <cell r="G11">
            <v>7344.7711417704622</v>
          </cell>
        </row>
        <row r="12">
          <cell r="F12">
            <v>14675.565638570242</v>
          </cell>
          <cell r="G12">
            <v>7163.591319072063</v>
          </cell>
        </row>
        <row r="13">
          <cell r="F13">
            <v>14859.010209052372</v>
          </cell>
          <cell r="G13">
            <v>6980.1467485899348</v>
          </cell>
        </row>
        <row r="14">
          <cell r="F14">
            <v>15044.747836665527</v>
          </cell>
          <cell r="G14">
            <v>6794.4091209767803</v>
          </cell>
        </row>
        <row r="15">
          <cell r="F15">
            <v>15232.807184623845</v>
          </cell>
          <cell r="G15">
            <v>6606.3497730184617</v>
          </cell>
        </row>
        <row r="16">
          <cell r="F16">
            <v>15423.217274431641</v>
          </cell>
          <cell r="G16">
            <v>6415.939683210664</v>
          </cell>
        </row>
        <row r="17">
          <cell r="F17">
            <v>15616.007490362037</v>
          </cell>
          <cell r="G17">
            <v>6223.1494672802683</v>
          </cell>
        </row>
        <row r="18">
          <cell r="F18">
            <v>15811.207583991563</v>
          </cell>
          <cell r="G18">
            <v>6027.9493736507429</v>
          </cell>
        </row>
        <row r="19">
          <cell r="F19">
            <v>16008.847678791459</v>
          </cell>
          <cell r="G19">
            <v>5830.3092788508475</v>
          </cell>
        </row>
        <row r="20">
          <cell r="F20">
            <v>16208.958274776352</v>
          </cell>
          <cell r="G20">
            <v>5630.1986828659547</v>
          </cell>
        </row>
        <row r="21">
          <cell r="F21">
            <v>16411.570253211055</v>
          </cell>
          <cell r="G21">
            <v>5427.5867044312508</v>
          </cell>
        </row>
        <row r="22">
          <cell r="F22">
            <v>16616.714881376196</v>
          </cell>
          <cell r="G22">
            <v>5222.4420762661121</v>
          </cell>
        </row>
        <row r="23">
          <cell r="F23">
            <v>16824.423817393395</v>
          </cell>
          <cell r="G23">
            <v>5014.7331402489099</v>
          </cell>
        </row>
        <row r="24">
          <cell r="F24">
            <v>17034.729115110815</v>
          </cell>
          <cell r="G24">
            <v>4804.4278425314924</v>
          </cell>
        </row>
        <row r="25">
          <cell r="F25">
            <v>17247.6632290497</v>
          </cell>
          <cell r="G25">
            <v>4591.4937285926071</v>
          </cell>
        </row>
        <row r="26">
          <cell r="F26">
            <v>17463.259019412821</v>
          </cell>
          <cell r="G26">
            <v>4375.8979382294865</v>
          </cell>
        </row>
        <row r="27">
          <cell r="F27">
            <v>17681.549757155481</v>
          </cell>
          <cell r="G27">
            <v>4157.6072004868265</v>
          </cell>
        </row>
        <row r="28">
          <cell r="F28">
            <v>17902.569129119925</v>
          </cell>
          <cell r="G28">
            <v>3936.5878285223826</v>
          </cell>
        </row>
        <row r="29">
          <cell r="F29">
            <v>18126.351243233923</v>
          </cell>
          <cell r="G29">
            <v>3712.8057144083837</v>
          </cell>
        </row>
        <row r="30">
          <cell r="F30">
            <v>18352.930633774347</v>
          </cell>
          <cell r="G30">
            <v>3486.2263238679593</v>
          </cell>
        </row>
        <row r="31">
          <cell r="F31">
            <v>18582.342266696527</v>
          </cell>
          <cell r="G31">
            <v>3256.8146909457805</v>
          </cell>
        </row>
        <row r="32">
          <cell r="F32">
            <v>18814.621545030233</v>
          </cell>
          <cell r="G32">
            <v>3024.5354126120733</v>
          </cell>
        </row>
        <row r="33">
          <cell r="F33">
            <v>19049.80431434311</v>
          </cell>
          <cell r="G33">
            <v>2789.3526432991953</v>
          </cell>
        </row>
        <row r="34">
          <cell r="F34">
            <v>19287.9268682724</v>
          </cell>
          <cell r="G34">
            <v>2551.2300893699066</v>
          </cell>
        </row>
        <row r="35">
          <cell r="F35">
            <v>19529.025954125806</v>
          </cell>
          <cell r="G35">
            <v>2310.1310035165016</v>
          </cell>
        </row>
        <row r="36">
          <cell r="F36">
            <v>19773.138778552377</v>
          </cell>
          <cell r="G36">
            <v>2066.0181790899292</v>
          </cell>
        </row>
        <row r="37">
          <cell r="F37">
            <v>20020.303013284283</v>
          </cell>
          <cell r="G37">
            <v>1818.8539443580246</v>
          </cell>
        </row>
        <row r="38">
          <cell r="F38">
            <v>20270.556800950337</v>
          </cell>
          <cell r="G38">
            <v>1568.6001566919711</v>
          </cell>
        </row>
        <row r="39">
          <cell r="F39">
            <v>20523.938760962214</v>
          </cell>
          <cell r="G39">
            <v>1315.2181966800918</v>
          </cell>
        </row>
        <row r="40">
          <cell r="F40">
            <v>20780.487995474243</v>
          </cell>
          <cell r="G40">
            <v>1058.6689621680641</v>
          </cell>
        </row>
        <row r="41">
          <cell r="F41">
            <v>21040.244095417671</v>
          </cell>
          <cell r="G41">
            <v>798.91286222463611</v>
          </cell>
        </row>
        <row r="42">
          <cell r="F42">
            <v>21303.247146610393</v>
          </cell>
          <cell r="G42">
            <v>535.90981103191518</v>
          </cell>
        </row>
        <row r="43">
          <cell r="F43">
            <v>21569.53773594302</v>
          </cell>
          <cell r="G43">
            <v>269.61922169928533</v>
          </cell>
        </row>
        <row r="49">
          <cell r="I49">
            <v>401</v>
          </cell>
        </row>
      </sheetData>
      <sheetData sheetId="45">
        <row r="8">
          <cell r="F8">
            <v>3154.3478994318666</v>
          </cell>
          <cell r="G8">
            <v>1778.875</v>
          </cell>
        </row>
        <row r="9">
          <cell r="F9">
            <v>3193.7772481747652</v>
          </cell>
          <cell r="G9">
            <v>1739.4456512571016</v>
          </cell>
        </row>
        <row r="10">
          <cell r="F10">
            <v>3233.6994637769494</v>
          </cell>
          <cell r="G10">
            <v>1699.5234356549172</v>
          </cell>
        </row>
        <row r="11">
          <cell r="F11">
            <v>3274.1207070741611</v>
          </cell>
          <cell r="G11">
            <v>1659.1021923577052</v>
          </cell>
        </row>
        <row r="12">
          <cell r="F12">
            <v>3315.0472159125884</v>
          </cell>
          <cell r="G12">
            <v>1618.1756835192782</v>
          </cell>
        </row>
        <row r="13">
          <cell r="F13">
            <v>3356.4853061114954</v>
          </cell>
          <cell r="G13">
            <v>1576.7375933203709</v>
          </cell>
        </row>
        <row r="14">
          <cell r="F14">
            <v>3398.4413724378892</v>
          </cell>
          <cell r="G14">
            <v>1534.7815269939772</v>
          </cell>
        </row>
        <row r="15">
          <cell r="F15">
            <v>3440.9218895933627</v>
          </cell>
          <cell r="G15">
            <v>1492.3010098385037</v>
          </cell>
        </row>
        <row r="16">
          <cell r="F16">
            <v>3483.9334132132799</v>
          </cell>
          <cell r="G16">
            <v>1449.2894862185865</v>
          </cell>
        </row>
        <row r="17">
          <cell r="F17">
            <v>3527.4825808784462</v>
          </cell>
          <cell r="G17">
            <v>1405.7403185534204</v>
          </cell>
        </row>
        <row r="18">
          <cell r="F18">
            <v>3571.5761131394265</v>
          </cell>
          <cell r="G18">
            <v>1361.6467862924399</v>
          </cell>
        </row>
        <row r="19">
          <cell r="F19">
            <v>3616.2208145536697</v>
          </cell>
          <cell r="G19">
            <v>1317.0020848781971</v>
          </cell>
        </row>
        <row r="20">
          <cell r="F20">
            <v>3661.4235747355906</v>
          </cell>
          <cell r="G20">
            <v>1271.7993246962762</v>
          </cell>
        </row>
        <row r="21">
          <cell r="F21">
            <v>3707.1913694197856</v>
          </cell>
          <cell r="G21">
            <v>1226.0315300120812</v>
          </cell>
        </row>
        <row r="22">
          <cell r="F22">
            <v>3753.5312615375324</v>
          </cell>
          <cell r="G22">
            <v>1179.691637894334</v>
          </cell>
        </row>
        <row r="23">
          <cell r="F23">
            <v>3800.450402306752</v>
          </cell>
          <cell r="G23">
            <v>1132.7724971251148</v>
          </cell>
        </row>
        <row r="24">
          <cell r="F24">
            <v>3847.9560323355863</v>
          </cell>
          <cell r="G24">
            <v>1085.2668670962805</v>
          </cell>
        </row>
        <row r="25">
          <cell r="F25">
            <v>3896.0554827397809</v>
          </cell>
          <cell r="G25">
            <v>1037.1674166920857</v>
          </cell>
        </row>
        <row r="26">
          <cell r="F26">
            <v>3944.7561762740283</v>
          </cell>
          <cell r="G26">
            <v>988.46672315783826</v>
          </cell>
        </row>
        <row r="27">
          <cell r="F27">
            <v>3994.0656284774536</v>
          </cell>
          <cell r="G27">
            <v>939.15727095441298</v>
          </cell>
        </row>
        <row r="28">
          <cell r="F28">
            <v>4043.9914488334216</v>
          </cell>
          <cell r="G28">
            <v>889.23145059844489</v>
          </cell>
        </row>
        <row r="29">
          <cell r="F29">
            <v>4094.5413419438396</v>
          </cell>
          <cell r="G29">
            <v>838.68155748802701</v>
          </cell>
        </row>
        <row r="30">
          <cell r="F30">
            <v>4145.7231087181372</v>
          </cell>
          <cell r="G30">
            <v>787.499790713729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4B37-6830-4716-A08B-B8FB1015A77A}">
  <dimension ref="A1:BA60"/>
  <sheetViews>
    <sheetView tabSelected="1" topLeftCell="A4" zoomScale="140" zoomScaleNormal="140" workbookViewId="0">
      <selection activeCell="AW9" sqref="AW9"/>
    </sheetView>
  </sheetViews>
  <sheetFormatPr defaultColWidth="8.7109375" defaultRowHeight="18" x14ac:dyDescent="0.4"/>
  <cols>
    <col min="1" max="1" width="8.7109375" style="203"/>
    <col min="2" max="2" width="8.85546875" style="218" bestFit="1" customWidth="1"/>
    <col min="3" max="3" width="16.85546875" style="203" customWidth="1"/>
    <col min="4" max="4" width="35.140625" style="203" hidden="1" customWidth="1"/>
    <col min="5" max="5" width="45.5703125" style="203" hidden="1" customWidth="1"/>
    <col min="6" max="6" width="8.7109375" style="203"/>
    <col min="7" max="8" width="8.85546875" style="205" bestFit="1" customWidth="1"/>
    <col min="9" max="14" width="8.85546875" style="205" hidden="1" customWidth="1"/>
    <col min="15" max="15" width="9.140625" style="203" hidden="1" customWidth="1"/>
    <col min="16" max="16" width="12" style="203" hidden="1" customWidth="1"/>
    <col min="17" max="17" width="11.140625" style="203" hidden="1" customWidth="1"/>
    <col min="18" max="19" width="12" style="203" hidden="1" customWidth="1"/>
    <col min="20" max="20" width="11.140625" style="203" hidden="1" customWidth="1"/>
    <col min="21" max="21" width="8.85546875" style="203" hidden="1" customWidth="1"/>
    <col min="22" max="22" width="11.140625" style="203" hidden="1" customWidth="1"/>
    <col min="23" max="24" width="12" style="203" hidden="1" customWidth="1"/>
    <col min="25" max="25" width="11.140625" style="203" hidden="1" customWidth="1"/>
    <col min="26" max="26" width="12" style="203" hidden="1" customWidth="1"/>
    <col min="27" max="29" width="10.42578125" style="203" hidden="1" customWidth="1"/>
    <col min="30" max="30" width="11.140625" style="203" hidden="1" customWidth="1"/>
    <col min="31" max="31" width="12" style="203" hidden="1" customWidth="1"/>
    <col min="32" max="32" width="8.85546875" style="203" hidden="1" customWidth="1"/>
    <col min="33" max="34" width="12" style="203" hidden="1" customWidth="1"/>
    <col min="35" max="35" width="8.85546875" style="203" hidden="1" customWidth="1"/>
    <col min="36" max="36" width="11.140625" style="203" hidden="1" customWidth="1"/>
    <col min="37" max="37" width="12" style="203" bestFit="1" customWidth="1"/>
    <col min="38" max="40" width="10.42578125" style="203" bestFit="1" customWidth="1"/>
    <col min="41" max="41" width="11.140625" style="203" bestFit="1" customWidth="1"/>
    <col min="42" max="42" width="12" style="203" bestFit="1" customWidth="1"/>
    <col min="43" max="44" width="8.85546875" style="203" hidden="1" customWidth="1"/>
    <col min="45" max="45" width="0" style="205" hidden="1" customWidth="1"/>
    <col min="46" max="46" width="8.7109375" style="203"/>
    <col min="47" max="47" width="11.7109375" style="203" customWidth="1"/>
    <col min="48" max="48" width="17.42578125" style="203" customWidth="1"/>
    <col min="49" max="49" width="12.42578125" style="203" customWidth="1"/>
    <col min="50" max="50" width="8.7109375" style="203"/>
    <col min="51" max="51" width="11.42578125" style="203" customWidth="1"/>
    <col min="52" max="52" width="13.42578125" style="203" customWidth="1"/>
    <col min="53" max="53" width="12" style="205" customWidth="1"/>
    <col min="54" max="16384" width="8.7109375" style="203"/>
  </cols>
  <sheetData>
    <row r="1" spans="1:53" x14ac:dyDescent="0.35">
      <c r="A1" s="1"/>
      <c r="B1" s="211" t="s">
        <v>0</v>
      </c>
      <c r="C1" s="2"/>
      <c r="D1" s="3"/>
      <c r="E1" s="3"/>
      <c r="F1" s="2"/>
      <c r="G1" s="2"/>
      <c r="H1" s="4"/>
      <c r="I1" s="4"/>
      <c r="J1" s="4"/>
      <c r="K1" s="2"/>
      <c r="L1" s="4"/>
      <c r="M1" s="4"/>
      <c r="N1" s="7"/>
      <c r="O1" s="5"/>
      <c r="P1" s="6"/>
      <c r="Q1" s="6"/>
      <c r="R1" s="6"/>
      <c r="S1" s="6"/>
      <c r="T1" s="6"/>
      <c r="U1" s="6"/>
      <c r="V1" s="8"/>
      <c r="W1" s="6"/>
      <c r="X1" s="9"/>
      <c r="Y1" s="9"/>
      <c r="Z1" s="10"/>
      <c r="AA1" s="6"/>
      <c r="AB1" s="6"/>
      <c r="AC1" s="6"/>
      <c r="AD1" s="10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11"/>
      <c r="AS1" s="2"/>
      <c r="AT1" s="6"/>
      <c r="AU1" s="6"/>
      <c r="AV1" s="6"/>
      <c r="AW1" s="6"/>
      <c r="AX1" s="6"/>
      <c r="AY1" s="6"/>
      <c r="AZ1" s="6"/>
      <c r="BA1" s="2"/>
    </row>
    <row r="2" spans="1:53" x14ac:dyDescent="0.35">
      <c r="A2" s="1"/>
      <c r="B2" s="211" t="s">
        <v>1</v>
      </c>
      <c r="C2" s="2"/>
      <c r="D2" s="3"/>
      <c r="E2" s="3"/>
      <c r="F2" s="2"/>
      <c r="G2" s="2"/>
      <c r="H2" s="4"/>
      <c r="I2" s="12" t="s">
        <v>2</v>
      </c>
      <c r="J2" s="4"/>
      <c r="K2" s="2"/>
      <c r="L2" s="4"/>
      <c r="M2" s="4"/>
      <c r="N2" s="7"/>
      <c r="O2" s="5"/>
      <c r="P2" s="6"/>
      <c r="Q2" s="6"/>
      <c r="R2" s="6"/>
      <c r="S2" s="6"/>
      <c r="T2" s="6"/>
      <c r="U2" s="6"/>
      <c r="V2" s="8"/>
      <c r="W2" s="6"/>
      <c r="X2" s="9"/>
      <c r="Y2" s="9"/>
      <c r="Z2" s="10"/>
      <c r="AA2" s="6"/>
      <c r="AB2" s="6"/>
      <c r="AC2" s="6"/>
      <c r="AD2" s="10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11"/>
      <c r="AS2" s="2"/>
      <c r="AT2" s="6"/>
      <c r="AU2" s="6"/>
      <c r="AV2" s="6"/>
      <c r="AW2" s="6"/>
      <c r="AX2" s="6"/>
      <c r="AY2" s="6"/>
      <c r="AZ2" s="6"/>
      <c r="BA2" s="2"/>
    </row>
    <row r="3" spans="1:53" ht="18.75" thickBot="1" x14ac:dyDescent="0.4">
      <c r="A3" s="13"/>
      <c r="B3" s="212"/>
      <c r="C3" s="14"/>
      <c r="D3" s="15"/>
      <c r="E3" s="15"/>
      <c r="F3" s="14"/>
      <c r="G3" s="14"/>
      <c r="H3" s="14"/>
      <c r="I3" s="14"/>
      <c r="J3" s="14"/>
      <c r="K3" s="14"/>
      <c r="L3" s="14"/>
      <c r="M3" s="14"/>
      <c r="N3" s="17"/>
      <c r="O3" s="5"/>
      <c r="P3" s="6"/>
      <c r="Q3" s="6"/>
      <c r="R3" s="16"/>
      <c r="S3" s="18"/>
      <c r="T3" s="16"/>
      <c r="U3" s="18"/>
      <c r="V3" s="8"/>
      <c r="W3" s="16"/>
      <c r="X3" s="19"/>
      <c r="Y3" s="19"/>
      <c r="Z3" s="20"/>
      <c r="AA3" s="16"/>
      <c r="AB3" s="16"/>
      <c r="AC3" s="16"/>
      <c r="AD3" s="20"/>
      <c r="AE3" s="16"/>
      <c r="AF3" s="16"/>
      <c r="AG3" s="16"/>
      <c r="AH3" s="18"/>
      <c r="AI3" s="18"/>
      <c r="AJ3" s="18"/>
      <c r="AK3" s="16"/>
      <c r="AL3" s="16"/>
      <c r="AM3" s="16"/>
      <c r="AN3" s="16"/>
      <c r="AO3" s="16"/>
      <c r="AP3" s="16"/>
      <c r="AQ3" s="16"/>
      <c r="AR3" s="21"/>
      <c r="AS3" s="14"/>
      <c r="AT3" s="16"/>
      <c r="AU3" s="16"/>
      <c r="AV3" s="16"/>
      <c r="AW3" s="16"/>
      <c r="AX3" s="16"/>
      <c r="AY3" s="16"/>
      <c r="AZ3" s="16"/>
      <c r="BA3" s="14"/>
    </row>
    <row r="4" spans="1:53" ht="72.75" thickBot="1" x14ac:dyDescent="0.4">
      <c r="A4" s="22"/>
      <c r="B4" s="213" t="s">
        <v>3</v>
      </c>
      <c r="C4" s="23" t="s">
        <v>4</v>
      </c>
      <c r="D4" s="24" t="s">
        <v>5</v>
      </c>
      <c r="E4" s="24" t="s">
        <v>6</v>
      </c>
      <c r="F4" s="23" t="s">
        <v>7</v>
      </c>
      <c r="G4" s="23" t="s">
        <v>8</v>
      </c>
      <c r="H4" s="23" t="s">
        <v>9</v>
      </c>
      <c r="I4" s="25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6" t="s">
        <v>15</v>
      </c>
      <c r="O4" s="23" t="s">
        <v>16</v>
      </c>
      <c r="P4" s="23" t="s">
        <v>17</v>
      </c>
      <c r="Q4" s="23" t="s">
        <v>18</v>
      </c>
      <c r="R4" s="23" t="s">
        <v>19</v>
      </c>
      <c r="S4" s="27" t="s">
        <v>20</v>
      </c>
      <c r="T4" s="26" t="s">
        <v>21</v>
      </c>
      <c r="U4" s="28" t="s">
        <v>22</v>
      </c>
      <c r="V4" s="26" t="s">
        <v>23</v>
      </c>
      <c r="W4" s="29" t="s">
        <v>24</v>
      </c>
      <c r="X4" s="30" t="s">
        <v>25</v>
      </c>
      <c r="Y4" s="31" t="s">
        <v>26</v>
      </c>
      <c r="Z4" s="30" t="s">
        <v>27</v>
      </c>
      <c r="AA4" s="32" t="s">
        <v>28</v>
      </c>
      <c r="AB4" s="32" t="s">
        <v>29</v>
      </c>
      <c r="AC4" s="32" t="s">
        <v>30</v>
      </c>
      <c r="AD4" s="32" t="s">
        <v>31</v>
      </c>
      <c r="AE4" s="32" t="s">
        <v>32</v>
      </c>
      <c r="AF4" s="33" t="s">
        <v>33</v>
      </c>
      <c r="AG4" s="34" t="s">
        <v>34</v>
      </c>
      <c r="AH4" s="35" t="s">
        <v>20</v>
      </c>
      <c r="AI4" s="36" t="s">
        <v>22</v>
      </c>
      <c r="AJ4" s="37" t="s">
        <v>23</v>
      </c>
      <c r="AK4" s="38" t="s">
        <v>27</v>
      </c>
      <c r="AL4" s="39" t="s">
        <v>28</v>
      </c>
      <c r="AM4" s="39" t="s">
        <v>29</v>
      </c>
      <c r="AN4" s="39" t="s">
        <v>30</v>
      </c>
      <c r="AO4" s="39" t="s">
        <v>31</v>
      </c>
      <c r="AP4" s="40" t="s">
        <v>32</v>
      </c>
      <c r="AQ4" s="41"/>
      <c r="AR4" s="42" t="s">
        <v>35</v>
      </c>
      <c r="AS4" s="206" t="s">
        <v>36</v>
      </c>
      <c r="AT4" s="41"/>
      <c r="AU4" s="255" t="s">
        <v>220</v>
      </c>
      <c r="AV4" s="255"/>
      <c r="AW4" s="255"/>
      <c r="AX4" s="255"/>
      <c r="AY4" s="255"/>
      <c r="AZ4" s="255"/>
      <c r="BA4" s="255"/>
    </row>
    <row r="5" spans="1:53" x14ac:dyDescent="0.35">
      <c r="A5" s="13"/>
      <c r="B5" s="214">
        <v>1</v>
      </c>
      <c r="C5" s="43" t="s">
        <v>37</v>
      </c>
      <c r="D5" s="44" t="s">
        <v>38</v>
      </c>
      <c r="E5" s="44" t="s">
        <v>39</v>
      </c>
      <c r="F5" s="45" t="s">
        <v>40</v>
      </c>
      <c r="G5" s="46">
        <v>43244</v>
      </c>
      <c r="H5" s="46">
        <v>45800</v>
      </c>
      <c r="I5" s="46">
        <v>43357</v>
      </c>
      <c r="J5" s="46">
        <v>45749</v>
      </c>
      <c r="K5" s="47">
        <v>0.11386064999999999</v>
      </c>
      <c r="L5" s="45">
        <v>84</v>
      </c>
      <c r="M5" s="45">
        <v>84</v>
      </c>
      <c r="N5" s="48">
        <f t="shared" ref="N5:N32" si="0">+L5-M5</f>
        <v>0</v>
      </c>
      <c r="O5" s="49">
        <v>313088</v>
      </c>
      <c r="P5" s="49">
        <v>18070311</v>
      </c>
      <c r="Q5" s="49">
        <v>8229081</v>
      </c>
      <c r="R5" s="49">
        <f t="shared" ref="R5:R45" si="1">P5+Q5</f>
        <v>26299392</v>
      </c>
      <c r="S5" s="50">
        <f t="shared" ref="S5:S47" si="2">R5-T5</f>
        <v>0</v>
      </c>
      <c r="T5" s="51">
        <f>+M5*O5</f>
        <v>26299392</v>
      </c>
      <c r="U5" s="52"/>
      <c r="V5" s="49"/>
      <c r="W5" s="53">
        <f>S5-V5</f>
        <v>0</v>
      </c>
      <c r="X5" s="54">
        <f t="shared" ref="X5:X15" si="3">+N5*O5</f>
        <v>0</v>
      </c>
      <c r="Y5" s="55">
        <f>+X5-S5</f>
        <v>0</v>
      </c>
      <c r="Z5" s="56">
        <f>+S5</f>
        <v>0</v>
      </c>
      <c r="AA5" s="57"/>
      <c r="AB5" s="57"/>
      <c r="AC5" s="57"/>
      <c r="AD5" s="57"/>
      <c r="AE5" s="58">
        <f t="shared" ref="AE5:AE7" si="4">SUM(Z5:AD5)</f>
        <v>0</v>
      </c>
      <c r="AF5" s="18">
        <f>+AE5-S5</f>
        <v>0</v>
      </c>
      <c r="AG5" s="59">
        <f>+R5*1.07</f>
        <v>28140349.440000001</v>
      </c>
      <c r="AH5" s="60">
        <f>+S5*1.07</f>
        <v>0</v>
      </c>
      <c r="AI5" s="61">
        <f t="shared" ref="AI5:AI7" si="5">+U5</f>
        <v>0</v>
      </c>
      <c r="AJ5" s="62"/>
      <c r="AK5" s="63">
        <f>+Z5*1.07</f>
        <v>0</v>
      </c>
      <c r="AL5" s="64">
        <f>+AA5*1.07</f>
        <v>0</v>
      </c>
      <c r="AM5" s="64">
        <f>+AB5*1.07</f>
        <v>0</v>
      </c>
      <c r="AN5" s="64">
        <f>+AC5*1.07</f>
        <v>0</v>
      </c>
      <c r="AO5" s="64">
        <f>+AD5*1.07</f>
        <v>0</v>
      </c>
      <c r="AP5" s="65">
        <f>SUM(AK5:AO5)</f>
        <v>0</v>
      </c>
      <c r="AQ5" s="18">
        <f t="shared" ref="AQ5:AQ54" si="6">+AP5-AH5</f>
        <v>0</v>
      </c>
      <c r="AR5" s="66"/>
      <c r="AS5" s="207" t="s">
        <v>41</v>
      </c>
      <c r="AT5" s="16"/>
      <c r="AU5" s="67" t="s">
        <v>42</v>
      </c>
      <c r="AV5" s="68"/>
      <c r="AW5" s="69" t="s">
        <v>43</v>
      </c>
      <c r="AX5" s="16"/>
      <c r="AY5" s="70" t="s">
        <v>44</v>
      </c>
      <c r="AZ5" s="71"/>
      <c r="BA5" s="220"/>
    </row>
    <row r="6" spans="1:53" x14ac:dyDescent="0.35">
      <c r="A6" s="13"/>
      <c r="B6" s="215">
        <v>2</v>
      </c>
      <c r="C6" s="48" t="s">
        <v>45</v>
      </c>
      <c r="D6" s="72" t="s">
        <v>46</v>
      </c>
      <c r="E6" s="72" t="s">
        <v>47</v>
      </c>
      <c r="F6" s="73" t="s">
        <v>40</v>
      </c>
      <c r="G6" s="74">
        <v>44519</v>
      </c>
      <c r="H6" s="74">
        <v>46709</v>
      </c>
      <c r="I6" s="74">
        <v>44560</v>
      </c>
      <c r="J6" s="74">
        <v>46386</v>
      </c>
      <c r="K6" s="75">
        <v>0.12</v>
      </c>
      <c r="L6" s="73">
        <v>72</v>
      </c>
      <c r="M6" s="73">
        <v>60</v>
      </c>
      <c r="N6" s="48">
        <f t="shared" si="0"/>
        <v>12</v>
      </c>
      <c r="O6" s="76">
        <v>147954.52744733618</v>
      </c>
      <c r="P6" s="76">
        <v>7567932</v>
      </c>
      <c r="Q6" s="76">
        <v>3084793.9762082044</v>
      </c>
      <c r="R6" s="76">
        <f t="shared" si="1"/>
        <v>10652725.976208204</v>
      </c>
      <c r="S6" s="77">
        <f t="shared" si="2"/>
        <v>1775454.3293680344</v>
      </c>
      <c r="T6" s="78">
        <f>+M6*O6</f>
        <v>8877271.64684017</v>
      </c>
      <c r="U6" s="79"/>
      <c r="V6" s="76"/>
      <c r="W6" s="80">
        <f>S6-V6</f>
        <v>1775454.3293680344</v>
      </c>
      <c r="X6" s="81">
        <f t="shared" si="3"/>
        <v>1775454.3293680341</v>
      </c>
      <c r="Y6" s="82">
        <f t="shared" ref="Y6:Y53" si="7">+X6-S6+V6</f>
        <v>-2.3283064365386963E-10</v>
      </c>
      <c r="Z6" s="83">
        <f>+S6</f>
        <v>1775454.3293680344</v>
      </c>
      <c r="AA6" s="84"/>
      <c r="AB6" s="84"/>
      <c r="AC6" s="84"/>
      <c r="AD6" s="84"/>
      <c r="AE6" s="85">
        <f t="shared" si="4"/>
        <v>1775454.3293680344</v>
      </c>
      <c r="AF6" s="18">
        <f>+AE6-S6</f>
        <v>0</v>
      </c>
      <c r="AG6" s="76">
        <f>+R6*1.07</f>
        <v>11398416.79454278</v>
      </c>
      <c r="AH6" s="86">
        <f>+S6*1.07</f>
        <v>1899736.1324237969</v>
      </c>
      <c r="AI6" s="61">
        <f t="shared" si="5"/>
        <v>0</v>
      </c>
      <c r="AJ6" s="87"/>
      <c r="AK6" s="88">
        <f t="shared" ref="AK6:AO21" si="8">+Z6*1.07</f>
        <v>1899736.1324237969</v>
      </c>
      <c r="AL6" s="89">
        <f t="shared" si="8"/>
        <v>0</v>
      </c>
      <c r="AM6" s="89">
        <f t="shared" si="8"/>
        <v>0</v>
      </c>
      <c r="AN6" s="89">
        <f t="shared" si="8"/>
        <v>0</v>
      </c>
      <c r="AO6" s="89">
        <f t="shared" si="8"/>
        <v>0</v>
      </c>
      <c r="AP6" s="90">
        <f t="shared" ref="AP6:AP53" si="9">SUM(AK6:AO6)</f>
        <v>1899736.1324237969</v>
      </c>
      <c r="AQ6" s="18">
        <f t="shared" si="6"/>
        <v>0</v>
      </c>
      <c r="AR6" s="66"/>
      <c r="AS6" s="208" t="s">
        <v>41</v>
      </c>
      <c r="AT6" s="16"/>
      <c r="AU6" s="91" t="s">
        <v>48</v>
      </c>
      <c r="AV6" s="91" t="s">
        <v>49</v>
      </c>
      <c r="AW6" s="91" t="s">
        <v>50</v>
      </c>
      <c r="AX6" s="16"/>
      <c r="AY6" s="92" t="s">
        <v>48</v>
      </c>
      <c r="AZ6" s="92" t="s">
        <v>49</v>
      </c>
      <c r="BA6" s="92" t="s">
        <v>50</v>
      </c>
    </row>
    <row r="7" spans="1:53" x14ac:dyDescent="0.35">
      <c r="A7" s="13"/>
      <c r="B7" s="215">
        <v>3</v>
      </c>
      <c r="C7" s="48" t="s">
        <v>51</v>
      </c>
      <c r="D7" s="72" t="s">
        <v>52</v>
      </c>
      <c r="E7" s="72" t="s">
        <v>47</v>
      </c>
      <c r="F7" s="73" t="s">
        <v>40</v>
      </c>
      <c r="G7" s="74">
        <v>44519</v>
      </c>
      <c r="H7" s="74">
        <v>46709</v>
      </c>
      <c r="I7" s="74">
        <v>44560</v>
      </c>
      <c r="J7" s="74">
        <v>46386</v>
      </c>
      <c r="K7" s="75">
        <v>0.12</v>
      </c>
      <c r="L7" s="73">
        <v>72</v>
      </c>
      <c r="M7" s="73">
        <v>61</v>
      </c>
      <c r="N7" s="48">
        <f t="shared" si="0"/>
        <v>11</v>
      </c>
      <c r="O7" s="76">
        <v>36228.870000000003</v>
      </c>
      <c r="P7" s="76">
        <v>1853121</v>
      </c>
      <c r="Q7" s="76">
        <v>755357.64000000013</v>
      </c>
      <c r="R7" s="76">
        <f t="shared" si="1"/>
        <v>2608478.64</v>
      </c>
      <c r="S7" s="77">
        <f t="shared" si="2"/>
        <v>398517.56999999983</v>
      </c>
      <c r="T7" s="78">
        <f>+M7*O7</f>
        <v>2209961.0700000003</v>
      </c>
      <c r="U7" s="79"/>
      <c r="V7" s="76"/>
      <c r="W7" s="80">
        <f t="shared" ref="W7" si="10">S7-V7</f>
        <v>398517.56999999983</v>
      </c>
      <c r="X7" s="81">
        <f t="shared" si="3"/>
        <v>398517.57</v>
      </c>
      <c r="Y7" s="82">
        <f t="shared" si="7"/>
        <v>1.7462298274040222E-10</v>
      </c>
      <c r="Z7" s="83">
        <f>+S7</f>
        <v>398517.56999999983</v>
      </c>
      <c r="AA7" s="84"/>
      <c r="AB7" s="84"/>
      <c r="AC7" s="84"/>
      <c r="AD7" s="84"/>
      <c r="AE7" s="85">
        <f t="shared" si="4"/>
        <v>398517.56999999983</v>
      </c>
      <c r="AF7" s="18">
        <f t="shared" ref="AF7:AF54" si="11">+AE7-S7</f>
        <v>0</v>
      </c>
      <c r="AG7" s="76">
        <f t="shared" ref="AG7:AH38" si="12">+R7*1.07</f>
        <v>2791072.1448000004</v>
      </c>
      <c r="AH7" s="86">
        <f t="shared" si="12"/>
        <v>426413.79989999987</v>
      </c>
      <c r="AI7" s="61">
        <f t="shared" si="5"/>
        <v>0</v>
      </c>
      <c r="AJ7" s="87"/>
      <c r="AK7" s="88">
        <f t="shared" si="8"/>
        <v>426413.79989999987</v>
      </c>
      <c r="AL7" s="89">
        <f t="shared" si="8"/>
        <v>0</v>
      </c>
      <c r="AM7" s="89">
        <f t="shared" si="8"/>
        <v>0</v>
      </c>
      <c r="AN7" s="89">
        <f t="shared" si="8"/>
        <v>0</v>
      </c>
      <c r="AO7" s="89">
        <f t="shared" si="8"/>
        <v>0</v>
      </c>
      <c r="AP7" s="90">
        <f t="shared" si="9"/>
        <v>426413.79989999987</v>
      </c>
      <c r="AQ7" s="18">
        <f t="shared" si="6"/>
        <v>0</v>
      </c>
      <c r="AR7" s="66"/>
      <c r="AS7" s="208" t="s">
        <v>41</v>
      </c>
      <c r="AT7" s="16"/>
      <c r="AU7" s="224" t="s">
        <v>27</v>
      </c>
      <c r="AV7" s="93">
        <f>+AK55</f>
        <v>206827595.01693618</v>
      </c>
      <c r="AW7" s="219">
        <f>+AV7/$AV$12</f>
        <v>0.86557049908931871</v>
      </c>
      <c r="AX7" s="16"/>
      <c r="AY7" s="225" t="s">
        <v>27</v>
      </c>
      <c r="AZ7" s="94">
        <f>+'[1]ลูกค้า Co-Lending'!AR13</f>
        <v>134124795.7332083</v>
      </c>
      <c r="BA7" s="221">
        <f>+AZ7/$AZ$12</f>
        <v>1</v>
      </c>
    </row>
    <row r="8" spans="1:53" x14ac:dyDescent="0.35">
      <c r="A8" s="13"/>
      <c r="B8" s="215">
        <v>4</v>
      </c>
      <c r="C8" s="48" t="s">
        <v>53</v>
      </c>
      <c r="D8" s="72" t="s">
        <v>54</v>
      </c>
      <c r="E8" s="72" t="s">
        <v>55</v>
      </c>
      <c r="F8" s="73" t="s">
        <v>40</v>
      </c>
      <c r="G8" s="74">
        <v>44508</v>
      </c>
      <c r="H8" s="74">
        <v>45603</v>
      </c>
      <c r="I8" s="74">
        <v>44530</v>
      </c>
      <c r="J8" s="74">
        <v>45596</v>
      </c>
      <c r="K8" s="75">
        <v>0.15</v>
      </c>
      <c r="L8" s="73">
        <v>36</v>
      </c>
      <c r="M8" s="73">
        <v>23</v>
      </c>
      <c r="N8" s="48">
        <f t="shared" si="0"/>
        <v>13</v>
      </c>
      <c r="O8" s="76">
        <v>4933.22</v>
      </c>
      <c r="P8" s="76">
        <v>142310</v>
      </c>
      <c r="Q8" s="76">
        <v>35285.920000000013</v>
      </c>
      <c r="R8" s="76">
        <f t="shared" si="1"/>
        <v>177595.92</v>
      </c>
      <c r="S8" s="77">
        <f t="shared" si="2"/>
        <v>64131.793313067086</v>
      </c>
      <c r="T8" s="78">
        <f>SUM([1]เปมิกา!F8:G30)</f>
        <v>113464.12668693293</v>
      </c>
      <c r="U8" s="79">
        <v>596</v>
      </c>
      <c r="V8" s="76">
        <f>+S8</f>
        <v>64131.793313067086</v>
      </c>
      <c r="W8" s="80">
        <f>S8-V8</f>
        <v>0</v>
      </c>
      <c r="X8" s="81">
        <f t="shared" si="3"/>
        <v>64131.86</v>
      </c>
      <c r="Y8" s="82">
        <f t="shared" si="7"/>
        <v>64131.86</v>
      </c>
      <c r="Z8" s="83">
        <v>0</v>
      </c>
      <c r="AA8" s="84"/>
      <c r="AB8" s="84"/>
      <c r="AC8" s="84"/>
      <c r="AD8" s="84">
        <f>+V8</f>
        <v>64131.793313067086</v>
      </c>
      <c r="AE8" s="85">
        <f>SUM(Z8:AD8)</f>
        <v>64131.793313067086</v>
      </c>
      <c r="AF8" s="18">
        <f t="shared" si="11"/>
        <v>0</v>
      </c>
      <c r="AG8" s="76">
        <f t="shared" si="12"/>
        <v>190027.63440000004</v>
      </c>
      <c r="AH8" s="86">
        <f>+S8*1.07</f>
        <v>68621.01884498178</v>
      </c>
      <c r="AI8" s="61">
        <f>+U8</f>
        <v>596</v>
      </c>
      <c r="AJ8" s="87">
        <f>+V8*1.07</f>
        <v>68621.01884498178</v>
      </c>
      <c r="AK8" s="88">
        <f t="shared" si="8"/>
        <v>0</v>
      </c>
      <c r="AL8" s="89">
        <f t="shared" si="8"/>
        <v>0</v>
      </c>
      <c r="AM8" s="89">
        <f t="shared" si="8"/>
        <v>0</v>
      </c>
      <c r="AN8" s="89">
        <f t="shared" si="8"/>
        <v>0</v>
      </c>
      <c r="AO8" s="89">
        <f t="shared" si="8"/>
        <v>68621.01884498178</v>
      </c>
      <c r="AP8" s="90">
        <f t="shared" si="9"/>
        <v>68621.01884498178</v>
      </c>
      <c r="AQ8" s="18">
        <f t="shared" si="6"/>
        <v>0</v>
      </c>
      <c r="AR8" s="66"/>
      <c r="AS8" s="208" t="s">
        <v>56</v>
      </c>
      <c r="AT8" s="16"/>
      <c r="AU8" s="224" t="s">
        <v>28</v>
      </c>
      <c r="AV8" s="93">
        <f>+AL55</f>
        <v>3071028.1021271641</v>
      </c>
      <c r="AW8" s="219">
        <f t="shared" ref="AW8:AW12" si="13">+AV8/$AV$12</f>
        <v>1.285220826968406E-2</v>
      </c>
      <c r="AX8" s="16"/>
      <c r="AY8" s="225" t="s">
        <v>28</v>
      </c>
      <c r="AZ8" s="94"/>
      <c r="BA8" s="221">
        <f t="shared" ref="BA8:BA12" si="14">+AZ8/$AZ$12</f>
        <v>0</v>
      </c>
    </row>
    <row r="9" spans="1:53" x14ac:dyDescent="0.35">
      <c r="A9" s="13"/>
      <c r="B9" s="215">
        <v>5</v>
      </c>
      <c r="C9" s="48" t="s">
        <v>57</v>
      </c>
      <c r="D9" s="72" t="s">
        <v>58</v>
      </c>
      <c r="E9" s="72" t="s">
        <v>59</v>
      </c>
      <c r="F9" s="73" t="s">
        <v>40</v>
      </c>
      <c r="G9" s="74">
        <v>44557</v>
      </c>
      <c r="H9" s="74">
        <v>45652</v>
      </c>
      <c r="I9" s="74">
        <v>44592</v>
      </c>
      <c r="J9" s="74">
        <v>45656</v>
      </c>
      <c r="K9" s="75">
        <v>0.15</v>
      </c>
      <c r="L9" s="73">
        <v>36</v>
      </c>
      <c r="M9" s="73">
        <v>32</v>
      </c>
      <c r="N9" s="48">
        <f t="shared" si="0"/>
        <v>4</v>
      </c>
      <c r="O9" s="76">
        <v>21839.16</v>
      </c>
      <c r="P9" s="76">
        <v>630000</v>
      </c>
      <c r="Q9" s="76">
        <v>156209.76</v>
      </c>
      <c r="R9" s="76">
        <f t="shared" si="1"/>
        <v>786209.76</v>
      </c>
      <c r="S9" s="77">
        <f t="shared" si="2"/>
        <v>87356.737355446327</v>
      </c>
      <c r="T9" s="78">
        <f>SUM([1]โอ๊ตบริการ!F8:G39)</f>
        <v>698853.02264455368</v>
      </c>
      <c r="U9" s="79">
        <f>+[1]โอ๊ตบริการ!I49</f>
        <v>401</v>
      </c>
      <c r="V9" s="76">
        <f>SUM([1]โอ๊ตบริการ!F40:G43)</f>
        <v>87356.627830569225</v>
      </c>
      <c r="W9" s="80">
        <f>S9-V9-0.11</f>
        <v>-4.7512289835140165E-4</v>
      </c>
      <c r="X9" s="81">
        <f t="shared" si="3"/>
        <v>87356.64</v>
      </c>
      <c r="Y9" s="82">
        <f t="shared" si="7"/>
        <v>87356.530475122898</v>
      </c>
      <c r="Z9" s="83">
        <v>0</v>
      </c>
      <c r="AA9" s="84"/>
      <c r="AB9" s="84"/>
      <c r="AC9" s="84"/>
      <c r="AD9" s="84">
        <f>+S9</f>
        <v>87356.737355446327</v>
      </c>
      <c r="AE9" s="85">
        <f t="shared" ref="AE9:AE11" si="15">SUM(Z9:AD9)</f>
        <v>87356.737355446327</v>
      </c>
      <c r="AF9" s="18">
        <f t="shared" si="11"/>
        <v>0</v>
      </c>
      <c r="AG9" s="76">
        <f t="shared" si="12"/>
        <v>841244.4432000001</v>
      </c>
      <c r="AH9" s="86">
        <f t="shared" si="12"/>
        <v>93471.708970327571</v>
      </c>
      <c r="AI9" s="61">
        <f t="shared" ref="AI9:AJ53" si="16">+U9</f>
        <v>401</v>
      </c>
      <c r="AJ9" s="87">
        <f t="shared" ref="AJ9:AJ45" si="17">+V9*1.07</f>
        <v>93471.591778709073</v>
      </c>
      <c r="AK9" s="88">
        <f t="shared" si="8"/>
        <v>0</v>
      </c>
      <c r="AL9" s="89">
        <f t="shared" si="8"/>
        <v>0</v>
      </c>
      <c r="AM9" s="89">
        <f t="shared" si="8"/>
        <v>0</v>
      </c>
      <c r="AN9" s="89">
        <f t="shared" si="8"/>
        <v>0</v>
      </c>
      <c r="AO9" s="89">
        <f t="shared" si="8"/>
        <v>93471.708970327571</v>
      </c>
      <c r="AP9" s="90">
        <f t="shared" si="9"/>
        <v>93471.708970327571</v>
      </c>
      <c r="AQ9" s="18">
        <f t="shared" si="6"/>
        <v>0</v>
      </c>
      <c r="AR9" s="66"/>
      <c r="AS9" s="208" t="s">
        <v>56</v>
      </c>
      <c r="AT9" s="16"/>
      <c r="AU9" s="224" t="s">
        <v>29</v>
      </c>
      <c r="AV9" s="93">
        <f>+AM55</f>
        <v>2567734.3311544703</v>
      </c>
      <c r="AW9" s="219">
        <f t="shared" si="13"/>
        <v>1.0745931104426166E-2</v>
      </c>
      <c r="AX9" s="16"/>
      <c r="AY9" s="225" t="s">
        <v>29</v>
      </c>
      <c r="AZ9" s="94"/>
      <c r="BA9" s="221">
        <f t="shared" si="14"/>
        <v>0</v>
      </c>
    </row>
    <row r="10" spans="1:53" x14ac:dyDescent="0.35">
      <c r="A10" s="13"/>
      <c r="B10" s="215">
        <v>6</v>
      </c>
      <c r="C10" s="48" t="s">
        <v>60</v>
      </c>
      <c r="D10" s="72" t="s">
        <v>61</v>
      </c>
      <c r="E10" s="72" t="s">
        <v>62</v>
      </c>
      <c r="F10" s="73" t="s">
        <v>40</v>
      </c>
      <c r="G10" s="74">
        <v>44581</v>
      </c>
      <c r="H10" s="74">
        <v>45676</v>
      </c>
      <c r="I10" s="74">
        <v>44620</v>
      </c>
      <c r="J10" s="74">
        <v>45688</v>
      </c>
      <c r="K10" s="75">
        <v>0.15</v>
      </c>
      <c r="L10" s="73">
        <v>36</v>
      </c>
      <c r="M10" s="73">
        <v>27</v>
      </c>
      <c r="N10" s="48">
        <f t="shared" si="0"/>
        <v>9</v>
      </c>
      <c r="O10" s="76">
        <v>10919.58</v>
      </c>
      <c r="P10" s="76">
        <v>315000</v>
      </c>
      <c r="Q10" s="76">
        <v>78104.88</v>
      </c>
      <c r="R10" s="76">
        <f t="shared" si="1"/>
        <v>393104.88</v>
      </c>
      <c r="S10" s="77">
        <f t="shared" si="2"/>
        <v>109195.8395506501</v>
      </c>
      <c r="T10" s="78">
        <f>SUM([1]เรวัฒน์!F8:G33)</f>
        <v>283909.04044934991</v>
      </c>
      <c r="U10" s="79">
        <f>+[1]เรวัฒน์!I49</f>
        <v>462</v>
      </c>
      <c r="V10" s="76">
        <f>SUM([1]เรวัฒน์!F34:G43)</f>
        <v>109195.78478821153</v>
      </c>
      <c r="W10" s="80">
        <f>S10-V10-0.05</f>
        <v>4.7624385653762119E-3</v>
      </c>
      <c r="X10" s="81">
        <f t="shared" si="3"/>
        <v>98276.22</v>
      </c>
      <c r="Y10" s="82">
        <f t="shared" si="7"/>
        <v>98276.165237561436</v>
      </c>
      <c r="Z10" s="83">
        <v>0</v>
      </c>
      <c r="AA10" s="84"/>
      <c r="AB10" s="84"/>
      <c r="AC10" s="84"/>
      <c r="AD10" s="84">
        <f>+S10</f>
        <v>109195.8395506501</v>
      </c>
      <c r="AE10" s="85">
        <f t="shared" si="15"/>
        <v>109195.8395506501</v>
      </c>
      <c r="AF10" s="18">
        <f t="shared" si="11"/>
        <v>0</v>
      </c>
      <c r="AG10" s="76">
        <f t="shared" si="12"/>
        <v>420622.22160000005</v>
      </c>
      <c r="AH10" s="86">
        <f t="shared" si="12"/>
        <v>116839.54831919562</v>
      </c>
      <c r="AI10" s="61">
        <f t="shared" si="16"/>
        <v>462</v>
      </c>
      <c r="AJ10" s="87">
        <f t="shared" si="17"/>
        <v>116839.48972338634</v>
      </c>
      <c r="AK10" s="88">
        <f t="shared" si="8"/>
        <v>0</v>
      </c>
      <c r="AL10" s="89">
        <f t="shared" si="8"/>
        <v>0</v>
      </c>
      <c r="AM10" s="89">
        <f t="shared" si="8"/>
        <v>0</v>
      </c>
      <c r="AN10" s="89">
        <f t="shared" si="8"/>
        <v>0</v>
      </c>
      <c r="AO10" s="89">
        <f t="shared" si="8"/>
        <v>116839.54831919562</v>
      </c>
      <c r="AP10" s="90">
        <f t="shared" si="9"/>
        <v>116839.54831919562</v>
      </c>
      <c r="AQ10" s="18">
        <f t="shared" si="6"/>
        <v>0</v>
      </c>
      <c r="AR10" s="66"/>
      <c r="AS10" s="208" t="s">
        <v>56</v>
      </c>
      <c r="AT10" s="16"/>
      <c r="AU10" s="224" t="s">
        <v>30</v>
      </c>
      <c r="AV10" s="93">
        <f>+AN55</f>
        <v>2403986.6412822474</v>
      </c>
      <c r="AW10" s="219">
        <f t="shared" si="13"/>
        <v>1.006064938640485E-2</v>
      </c>
      <c r="AX10" s="16"/>
      <c r="AY10" s="225" t="s">
        <v>30</v>
      </c>
      <c r="AZ10" s="94"/>
      <c r="BA10" s="221">
        <f t="shared" si="14"/>
        <v>0</v>
      </c>
    </row>
    <row r="11" spans="1:53" x14ac:dyDescent="0.35">
      <c r="A11" s="13"/>
      <c r="B11" s="215">
        <v>7</v>
      </c>
      <c r="C11" s="48" t="s">
        <v>63</v>
      </c>
      <c r="D11" s="72" t="s">
        <v>64</v>
      </c>
      <c r="E11" s="72"/>
      <c r="F11" s="73" t="s">
        <v>40</v>
      </c>
      <c r="G11" s="74">
        <f>+[1]สกุณา!B8</f>
        <v>44682</v>
      </c>
      <c r="H11" s="74">
        <f>+J11</f>
        <v>46873</v>
      </c>
      <c r="I11" s="74">
        <f>+[1]สกุณา!I8</f>
        <v>44712</v>
      </c>
      <c r="J11" s="74">
        <v>46873</v>
      </c>
      <c r="K11" s="75">
        <v>0.15</v>
      </c>
      <c r="L11" s="73">
        <f>+[1]สกุณา!F5</f>
        <v>36</v>
      </c>
      <c r="M11" s="73">
        <v>36</v>
      </c>
      <c r="N11" s="48">
        <f t="shared" si="0"/>
        <v>0</v>
      </c>
      <c r="O11" s="76">
        <f>+[1]สกุณา!H5</f>
        <v>65978.519742032688</v>
      </c>
      <c r="P11" s="76">
        <f>+[1]สกุณา!F3</f>
        <v>1903300</v>
      </c>
      <c r="Q11" s="76">
        <f>+[1]สกุณา!G44</f>
        <v>471926.71071317652</v>
      </c>
      <c r="R11" s="76">
        <f t="shared" si="1"/>
        <v>2375226.7107131765</v>
      </c>
      <c r="S11" s="77">
        <f t="shared" si="2"/>
        <v>1253591.8750986203</v>
      </c>
      <c r="T11" s="78">
        <f>SUM([1]สกุณา!C8:C24)</f>
        <v>1121634.8356145562</v>
      </c>
      <c r="U11" s="79">
        <f>+[1]สกุณา!I50</f>
        <v>736</v>
      </c>
      <c r="V11" s="76">
        <f>SUM([1]สกุณา!C25:C43)</f>
        <v>1253591.8750986217</v>
      </c>
      <c r="W11" s="80">
        <f>S11-V11</f>
        <v>0</v>
      </c>
      <c r="X11" s="81">
        <f t="shared" si="3"/>
        <v>0</v>
      </c>
      <c r="Y11" s="82">
        <f t="shared" si="7"/>
        <v>0</v>
      </c>
      <c r="Z11" s="83">
        <v>0</v>
      </c>
      <c r="AA11" s="84"/>
      <c r="AB11" s="84"/>
      <c r="AC11" s="84"/>
      <c r="AD11" s="84">
        <f>+V11</f>
        <v>1253591.8750986217</v>
      </c>
      <c r="AE11" s="85">
        <f t="shared" si="15"/>
        <v>1253591.8750986217</v>
      </c>
      <c r="AF11" s="18">
        <f t="shared" si="11"/>
        <v>0</v>
      </c>
      <c r="AG11" s="76">
        <f t="shared" si="12"/>
        <v>2541492.5804630988</v>
      </c>
      <c r="AH11" s="86">
        <f t="shared" si="12"/>
        <v>1341343.3063555239</v>
      </c>
      <c r="AI11" s="61">
        <f t="shared" si="16"/>
        <v>736</v>
      </c>
      <c r="AJ11" s="87">
        <f>+V11*1.07</f>
        <v>1341343.3063555253</v>
      </c>
      <c r="AK11" s="88">
        <f t="shared" si="8"/>
        <v>0</v>
      </c>
      <c r="AL11" s="89">
        <f t="shared" si="8"/>
        <v>0</v>
      </c>
      <c r="AM11" s="89">
        <f t="shared" si="8"/>
        <v>0</v>
      </c>
      <c r="AN11" s="89">
        <f t="shared" si="8"/>
        <v>0</v>
      </c>
      <c r="AO11" s="89">
        <f>+AD11*1.07</f>
        <v>1341343.3063555253</v>
      </c>
      <c r="AP11" s="90">
        <f>SUM(AK11:AO11)</f>
        <v>1341343.3063555253</v>
      </c>
      <c r="AQ11" s="18">
        <f>+AP11-AH11</f>
        <v>0</v>
      </c>
      <c r="AR11" s="66"/>
      <c r="AS11" s="208" t="s">
        <v>56</v>
      </c>
      <c r="AT11" s="16"/>
      <c r="AU11" s="224" t="s">
        <v>31</v>
      </c>
      <c r="AV11" s="93">
        <f>+AO55</f>
        <v>24079106.282031581</v>
      </c>
      <c r="AW11" s="219">
        <f t="shared" si="13"/>
        <v>0.1007707121501662</v>
      </c>
      <c r="AX11" s="16"/>
      <c r="AY11" s="225" t="s">
        <v>31</v>
      </c>
      <c r="AZ11" s="94"/>
      <c r="BA11" s="221">
        <f t="shared" si="14"/>
        <v>0</v>
      </c>
    </row>
    <row r="12" spans="1:53" x14ac:dyDescent="0.35">
      <c r="A12" s="13"/>
      <c r="B12" s="215">
        <v>8</v>
      </c>
      <c r="C12" s="95" t="s">
        <v>65</v>
      </c>
      <c r="D12" s="96" t="s">
        <v>66</v>
      </c>
      <c r="E12" s="96" t="s">
        <v>67</v>
      </c>
      <c r="F12" s="97" t="s">
        <v>40</v>
      </c>
      <c r="G12" s="98">
        <v>44711</v>
      </c>
      <c r="H12" s="98">
        <v>46171</v>
      </c>
      <c r="I12" s="98">
        <v>44742</v>
      </c>
      <c r="J12" s="98">
        <v>46173</v>
      </c>
      <c r="K12" s="99">
        <v>0.15</v>
      </c>
      <c r="L12" s="97">
        <v>48</v>
      </c>
      <c r="M12" s="97">
        <v>34</v>
      </c>
      <c r="N12" s="48">
        <f t="shared" si="0"/>
        <v>14</v>
      </c>
      <c r="O12" s="100">
        <v>48759.47</v>
      </c>
      <c r="P12" s="100">
        <f>+[1]SWOT!F56</f>
        <v>1752000.0000000005</v>
      </c>
      <c r="Q12" s="100">
        <f>+[1]SWOT!G56</f>
        <v>588454.60621758632</v>
      </c>
      <c r="R12" s="76">
        <f t="shared" si="1"/>
        <v>2340454.6062175869</v>
      </c>
      <c r="S12" s="77">
        <f t="shared" si="2"/>
        <v>659169.67644752911</v>
      </c>
      <c r="T12" s="101">
        <f>SUM([1]SWOT!C8:C41)+[1]SWOT!C42-[1]SWOT!S42</f>
        <v>1681284.9297700578</v>
      </c>
      <c r="U12" s="102">
        <v>155</v>
      </c>
      <c r="V12" s="100">
        <f>SUM([1]SWOT!C43:C47)+[1]SWOT!S42</f>
        <v>269093.90874459897</v>
      </c>
      <c r="W12" s="80">
        <f>S12-V12</f>
        <v>390075.76770293014</v>
      </c>
      <c r="X12" s="81">
        <f t="shared" si="3"/>
        <v>682632.58000000007</v>
      </c>
      <c r="Y12" s="82">
        <f t="shared" si="7"/>
        <v>292556.81229706993</v>
      </c>
      <c r="Z12" s="83">
        <f t="shared" ref="Z12:Z15" si="18">+W12</f>
        <v>390075.76770293014</v>
      </c>
      <c r="AA12" s="84">
        <f>SUM([1]SWOT!F43:G43)</f>
        <v>48759.470962866384</v>
      </c>
      <c r="AB12" s="84">
        <f>SUM([1]SWOT!F42:G42)</f>
        <v>48759.470962866384</v>
      </c>
      <c r="AC12" s="84">
        <f>SUM([1]SWOT!F41:G41)</f>
        <v>48759.470962866384</v>
      </c>
      <c r="AD12" s="84">
        <f>+V12-AA12-AB12-AC12</f>
        <v>122815.49585599982</v>
      </c>
      <c r="AE12" s="85">
        <f>SUM(Z12:AD12)</f>
        <v>659169.67644752911</v>
      </c>
      <c r="AF12" s="18">
        <f t="shared" si="11"/>
        <v>0</v>
      </c>
      <c r="AG12" s="76">
        <f t="shared" si="12"/>
        <v>2504286.4286528183</v>
      </c>
      <c r="AH12" s="86">
        <f t="shared" si="12"/>
        <v>705311.55379885621</v>
      </c>
      <c r="AI12" s="61">
        <f t="shared" si="16"/>
        <v>155</v>
      </c>
      <c r="AJ12" s="87">
        <f t="shared" si="17"/>
        <v>287930.4823567209</v>
      </c>
      <c r="AK12" s="88">
        <f t="shared" si="8"/>
        <v>417381.07144213526</v>
      </c>
      <c r="AL12" s="89">
        <f t="shared" si="8"/>
        <v>52172.633930267031</v>
      </c>
      <c r="AM12" s="89">
        <f t="shared" si="8"/>
        <v>52172.633930267031</v>
      </c>
      <c r="AN12" s="89">
        <f t="shared" si="8"/>
        <v>52172.633930267031</v>
      </c>
      <c r="AO12" s="89">
        <f t="shared" si="8"/>
        <v>131412.58056591981</v>
      </c>
      <c r="AP12" s="90">
        <f t="shared" si="9"/>
        <v>705311.55379885621</v>
      </c>
      <c r="AQ12" s="18">
        <f t="shared" si="6"/>
        <v>0</v>
      </c>
      <c r="AR12" s="66">
        <v>30</v>
      </c>
      <c r="AS12" s="208" t="s">
        <v>68</v>
      </c>
      <c r="AT12" s="16"/>
      <c r="AU12" s="91" t="s">
        <v>32</v>
      </c>
      <c r="AV12" s="103">
        <f>SUM(AV7:AV11)</f>
        <v>238949450.37353164</v>
      </c>
      <c r="AW12" s="219">
        <f t="shared" si="13"/>
        <v>1</v>
      </c>
      <c r="AX12" s="16"/>
      <c r="AY12" s="92" t="s">
        <v>32</v>
      </c>
      <c r="AZ12" s="104">
        <f>SUM(AZ7:AZ11)</f>
        <v>134124795.7332083</v>
      </c>
      <c r="BA12" s="221">
        <f t="shared" si="14"/>
        <v>1</v>
      </c>
    </row>
    <row r="13" spans="1:53" x14ac:dyDescent="0.35">
      <c r="A13" s="13"/>
      <c r="B13" s="215">
        <v>9</v>
      </c>
      <c r="C13" s="48" t="s">
        <v>69</v>
      </c>
      <c r="D13" s="72" t="s">
        <v>70</v>
      </c>
      <c r="E13" s="72" t="s">
        <v>71</v>
      </c>
      <c r="F13" s="73" t="s">
        <v>40</v>
      </c>
      <c r="G13" s="74">
        <v>44701</v>
      </c>
      <c r="H13" s="74">
        <v>45796</v>
      </c>
      <c r="I13" s="74">
        <v>44742</v>
      </c>
      <c r="J13" s="74">
        <v>45869</v>
      </c>
      <c r="K13" s="75">
        <v>0.14000000000000001</v>
      </c>
      <c r="L13" s="73">
        <v>24</v>
      </c>
      <c r="M13" s="73">
        <v>3</v>
      </c>
      <c r="N13" s="48">
        <f t="shared" si="0"/>
        <v>21</v>
      </c>
      <c r="O13" s="76">
        <f>+'[1]ออโรร่า ไรซ์'!H5</f>
        <v>24333.662541666668</v>
      </c>
      <c r="P13" s="76">
        <f>+'[1]ออโรร่า ไรซ์'!F32</f>
        <v>494921.95000000013</v>
      </c>
      <c r="Q13" s="76">
        <f>+'[1]ออโรร่า ไรซ์'!G32</f>
        <v>89085.951000000015</v>
      </c>
      <c r="R13" s="76">
        <f t="shared" si="1"/>
        <v>584007.90100000019</v>
      </c>
      <c r="S13" s="77">
        <f t="shared" si="2"/>
        <v>511006.91337500018</v>
      </c>
      <c r="T13" s="101">
        <f>SUM('[1]ออโรร่า ไรซ์'!C8:C10)</f>
        <v>73000.987625000009</v>
      </c>
      <c r="U13" s="102"/>
      <c r="V13" s="100"/>
      <c r="W13" s="77">
        <f t="shared" ref="W13:W27" si="19">S13-V13</f>
        <v>511006.91337500018</v>
      </c>
      <c r="X13" s="81">
        <f t="shared" si="3"/>
        <v>511006.91337500006</v>
      </c>
      <c r="Y13" s="82">
        <f t="shared" si="7"/>
        <v>-1.1641532182693481E-10</v>
      </c>
      <c r="Z13" s="83">
        <f t="shared" si="18"/>
        <v>511006.91337500018</v>
      </c>
      <c r="AA13" s="84">
        <f>+'[1]ออโรร่า ไรซ์'!J46</f>
        <v>0</v>
      </c>
      <c r="AB13" s="84">
        <f>+'[1]ออโรร่า ไรซ์'!J47</f>
        <v>0</v>
      </c>
      <c r="AC13" s="84">
        <f>+'[1]ออโรร่า ไรซ์'!J48</f>
        <v>0</v>
      </c>
      <c r="AD13" s="84">
        <f>SUM('[1]ออโรร่า ไรซ์'!C35:C40)</f>
        <v>0</v>
      </c>
      <c r="AE13" s="85">
        <f>SUM(Z13:AD13)</f>
        <v>511006.91337500018</v>
      </c>
      <c r="AF13" s="18">
        <f t="shared" si="11"/>
        <v>0</v>
      </c>
      <c r="AG13" s="76">
        <f t="shared" si="12"/>
        <v>624888.45407000021</v>
      </c>
      <c r="AH13" s="86">
        <f t="shared" si="12"/>
        <v>546777.39731125021</v>
      </c>
      <c r="AI13" s="61">
        <f t="shared" si="16"/>
        <v>0</v>
      </c>
      <c r="AJ13" s="87">
        <f t="shared" si="17"/>
        <v>0</v>
      </c>
      <c r="AK13" s="88">
        <f t="shared" si="8"/>
        <v>546777.39731125021</v>
      </c>
      <c r="AL13" s="89">
        <f t="shared" si="8"/>
        <v>0</v>
      </c>
      <c r="AM13" s="89">
        <f t="shared" si="8"/>
        <v>0</v>
      </c>
      <c r="AN13" s="89">
        <f t="shared" si="8"/>
        <v>0</v>
      </c>
      <c r="AO13" s="89">
        <f t="shared" si="8"/>
        <v>0</v>
      </c>
      <c r="AP13" s="90">
        <f t="shared" si="9"/>
        <v>546777.39731125021</v>
      </c>
      <c r="AQ13" s="18">
        <f t="shared" si="6"/>
        <v>0</v>
      </c>
      <c r="AR13" s="66">
        <v>25</v>
      </c>
      <c r="AS13" s="208" t="s">
        <v>41</v>
      </c>
      <c r="AT13" s="16"/>
      <c r="AU13" s="16"/>
      <c r="AV13" s="105"/>
      <c r="AW13" s="105"/>
      <c r="AX13" s="16"/>
      <c r="AY13" s="16"/>
      <c r="AZ13" s="16"/>
      <c r="BA13" s="14"/>
    </row>
    <row r="14" spans="1:53" x14ac:dyDescent="0.35">
      <c r="A14" s="13"/>
      <c r="B14" s="215">
        <v>10</v>
      </c>
      <c r="C14" s="48" t="s">
        <v>72</v>
      </c>
      <c r="D14" s="72" t="s">
        <v>73</v>
      </c>
      <c r="E14" s="72" t="s">
        <v>74</v>
      </c>
      <c r="F14" s="73" t="s">
        <v>40</v>
      </c>
      <c r="G14" s="74">
        <v>45437</v>
      </c>
      <c r="H14" s="74">
        <v>46897</v>
      </c>
      <c r="I14" s="74">
        <v>45412</v>
      </c>
      <c r="J14" s="74">
        <v>46843</v>
      </c>
      <c r="K14" s="75">
        <v>0.15</v>
      </c>
      <c r="L14" s="73">
        <v>48</v>
      </c>
      <c r="M14" s="73">
        <v>17</v>
      </c>
      <c r="N14" s="48">
        <f t="shared" si="0"/>
        <v>31</v>
      </c>
      <c r="O14" s="76">
        <v>26937.298535178914</v>
      </c>
      <c r="P14" s="76">
        <v>967897.0280373831</v>
      </c>
      <c r="Q14" s="76">
        <v>325093.3016512047</v>
      </c>
      <c r="R14" s="76">
        <f t="shared" si="1"/>
        <v>1292990.3296885877</v>
      </c>
      <c r="S14" s="77">
        <f t="shared" si="2"/>
        <v>835056.25459054613</v>
      </c>
      <c r="T14" s="78">
        <f>+M14*O14</f>
        <v>457934.07509804156</v>
      </c>
      <c r="U14" s="79"/>
      <c r="V14" s="76"/>
      <c r="W14" s="77">
        <f>S14-V14</f>
        <v>835056.25459054613</v>
      </c>
      <c r="X14" s="81">
        <f t="shared" si="3"/>
        <v>835056.25459054636</v>
      </c>
      <c r="Y14" s="82">
        <f t="shared" si="7"/>
        <v>2.3283064365386963E-10</v>
      </c>
      <c r="Z14" s="83">
        <f t="shared" si="18"/>
        <v>835056.25459054613</v>
      </c>
      <c r="AA14" s="84"/>
      <c r="AB14" s="84"/>
      <c r="AC14" s="84"/>
      <c r="AD14" s="84"/>
      <c r="AE14" s="85">
        <f t="shared" ref="AE14:AE46" si="20">SUM(Z14:AD14)</f>
        <v>835056.25459054613</v>
      </c>
      <c r="AF14" s="18">
        <f t="shared" si="11"/>
        <v>0</v>
      </c>
      <c r="AG14" s="76">
        <f t="shared" si="12"/>
        <v>1383499.6527667888</v>
      </c>
      <c r="AH14" s="86">
        <f t="shared" si="12"/>
        <v>893510.19241188443</v>
      </c>
      <c r="AI14" s="61">
        <f t="shared" si="16"/>
        <v>0</v>
      </c>
      <c r="AJ14" s="87">
        <f t="shared" si="17"/>
        <v>0</v>
      </c>
      <c r="AK14" s="88">
        <f t="shared" si="8"/>
        <v>893510.19241188443</v>
      </c>
      <c r="AL14" s="89">
        <f t="shared" si="8"/>
        <v>0</v>
      </c>
      <c r="AM14" s="89">
        <f t="shared" si="8"/>
        <v>0</v>
      </c>
      <c r="AN14" s="89">
        <f t="shared" si="8"/>
        <v>0</v>
      </c>
      <c r="AO14" s="89">
        <f t="shared" si="8"/>
        <v>0</v>
      </c>
      <c r="AP14" s="90">
        <f t="shared" si="9"/>
        <v>893510.19241188443</v>
      </c>
      <c r="AQ14" s="18">
        <f t="shared" si="6"/>
        <v>0</v>
      </c>
      <c r="AR14" s="66">
        <v>30</v>
      </c>
      <c r="AS14" s="208" t="s">
        <v>41</v>
      </c>
      <c r="AT14" s="16"/>
      <c r="AU14" s="16"/>
      <c r="AV14" s="20"/>
      <c r="AW14" s="20"/>
      <c r="AX14" s="16"/>
      <c r="AY14" s="106" t="s">
        <v>75</v>
      </c>
      <c r="AZ14" s="107"/>
      <c r="BA14" s="222"/>
    </row>
    <row r="15" spans="1:53" x14ac:dyDescent="0.35">
      <c r="A15" s="13"/>
      <c r="B15" s="215">
        <v>11</v>
      </c>
      <c r="C15" s="48" t="s">
        <v>76</v>
      </c>
      <c r="D15" s="72" t="s">
        <v>77</v>
      </c>
      <c r="E15" s="72" t="s">
        <v>78</v>
      </c>
      <c r="F15" s="73" t="s">
        <v>40</v>
      </c>
      <c r="G15" s="74">
        <v>44748</v>
      </c>
      <c r="H15" s="74">
        <v>46208</v>
      </c>
      <c r="I15" s="74">
        <v>44757</v>
      </c>
      <c r="J15" s="74">
        <v>46188</v>
      </c>
      <c r="K15" s="75">
        <v>7.4999999999999997E-2</v>
      </c>
      <c r="L15" s="73">
        <v>60</v>
      </c>
      <c r="M15" s="73">
        <v>1</v>
      </c>
      <c r="N15" s="48">
        <f t="shared" si="0"/>
        <v>59</v>
      </c>
      <c r="O15" s="76">
        <f>+[1]สยามเอพีที!H5</f>
        <v>27056.502887461058</v>
      </c>
      <c r="P15" s="76">
        <f>+[1]สยามเอพีที!F68</f>
        <v>1091354.7383177576</v>
      </c>
      <c r="Q15" s="76">
        <f>+[1]สยามเอพีที!G68</f>
        <v>532035.43492990697</v>
      </c>
      <c r="R15" s="76">
        <f t="shared" si="1"/>
        <v>1623390.1732476647</v>
      </c>
      <c r="S15" s="77">
        <f t="shared" si="2"/>
        <v>1596333.6703602036</v>
      </c>
      <c r="T15" s="78">
        <f>+O15</f>
        <v>27056.502887461058</v>
      </c>
      <c r="U15" s="79"/>
      <c r="V15" s="76"/>
      <c r="W15" s="77">
        <f t="shared" si="19"/>
        <v>1596333.6703602036</v>
      </c>
      <c r="X15" s="81">
        <f t="shared" si="3"/>
        <v>1596333.6703602024</v>
      </c>
      <c r="Y15" s="82">
        <f t="shared" si="7"/>
        <v>-1.1641532182693481E-9</v>
      </c>
      <c r="Z15" s="83">
        <f t="shared" si="18"/>
        <v>1596333.6703602036</v>
      </c>
      <c r="AA15" s="84"/>
      <c r="AB15" s="84"/>
      <c r="AC15" s="84"/>
      <c r="AD15" s="84"/>
      <c r="AE15" s="85">
        <f t="shared" si="20"/>
        <v>1596333.6703602036</v>
      </c>
      <c r="AF15" s="18">
        <f t="shared" si="11"/>
        <v>0</v>
      </c>
      <c r="AG15" s="76">
        <f t="shared" si="12"/>
        <v>1737027.4853750013</v>
      </c>
      <c r="AH15" s="86">
        <f t="shared" si="12"/>
        <v>1708077.027285418</v>
      </c>
      <c r="AI15" s="61">
        <f t="shared" si="16"/>
        <v>0</v>
      </c>
      <c r="AJ15" s="87">
        <f t="shared" si="17"/>
        <v>0</v>
      </c>
      <c r="AK15" s="88">
        <f t="shared" si="8"/>
        <v>1708077.027285418</v>
      </c>
      <c r="AL15" s="89">
        <f t="shared" si="8"/>
        <v>0</v>
      </c>
      <c r="AM15" s="89">
        <f t="shared" si="8"/>
        <v>0</v>
      </c>
      <c r="AN15" s="89">
        <f t="shared" si="8"/>
        <v>0</v>
      </c>
      <c r="AO15" s="89">
        <f t="shared" si="8"/>
        <v>0</v>
      </c>
      <c r="AP15" s="90">
        <f t="shared" si="9"/>
        <v>1708077.027285418</v>
      </c>
      <c r="AQ15" s="18">
        <f t="shared" si="6"/>
        <v>0</v>
      </c>
      <c r="AR15" s="66">
        <v>20</v>
      </c>
      <c r="AS15" s="208" t="s">
        <v>41</v>
      </c>
      <c r="AT15" s="16"/>
      <c r="AU15" s="16"/>
      <c r="AV15" s="20"/>
      <c r="AW15" s="20"/>
      <c r="AX15" s="16"/>
      <c r="AY15" s="108" t="s">
        <v>48</v>
      </c>
      <c r="AZ15" s="108" t="s">
        <v>49</v>
      </c>
      <c r="BA15" s="108" t="s">
        <v>50</v>
      </c>
    </row>
    <row r="16" spans="1:53" x14ac:dyDescent="0.35">
      <c r="A16" s="13"/>
      <c r="B16" s="215">
        <v>12</v>
      </c>
      <c r="C16" s="48" t="s">
        <v>79</v>
      </c>
      <c r="D16" s="72" t="s">
        <v>80</v>
      </c>
      <c r="E16" s="72" t="s">
        <v>81</v>
      </c>
      <c r="F16" s="73" t="s">
        <v>40</v>
      </c>
      <c r="G16" s="74">
        <v>44788</v>
      </c>
      <c r="H16" s="74">
        <v>46613</v>
      </c>
      <c r="I16" s="74">
        <v>44834</v>
      </c>
      <c r="J16" s="74">
        <v>46630</v>
      </c>
      <c r="K16" s="75">
        <v>7.4999999999999997E-2</v>
      </c>
      <c r="L16" s="73">
        <v>60</v>
      </c>
      <c r="M16" s="73">
        <v>18</v>
      </c>
      <c r="N16" s="48">
        <f t="shared" si="0"/>
        <v>42</v>
      </c>
      <c r="O16" s="76">
        <v>321588.94075000001</v>
      </c>
      <c r="P16" s="76">
        <v>14032971.960000001</v>
      </c>
      <c r="Q16" s="76">
        <v>5262364.4849999985</v>
      </c>
      <c r="R16" s="76">
        <f t="shared" si="1"/>
        <v>19295336.445</v>
      </c>
      <c r="S16" s="77">
        <f t="shared" si="2"/>
        <v>13225485.4873525</v>
      </c>
      <c r="T16" s="78">
        <f>SUM([1]โอเชี่ยนกรีน!C8:C25)+[1]โอเชี่ยนกรีน!C26-[1]โอเชี่ยนกรีน!S26</f>
        <v>6069850.9576475006</v>
      </c>
      <c r="U16" s="79">
        <f>+[1]โอเชี่ยนกรีน!L3</f>
        <v>584</v>
      </c>
      <c r="V16" s="76">
        <f>SUM([1]โอเชี่ยนกรีน!C27:C43)+[1]โอเชี่ยนกรีน!S26</f>
        <v>5507350.9093525</v>
      </c>
      <c r="W16" s="77">
        <f>S16-V16</f>
        <v>7718134.5779999997</v>
      </c>
      <c r="X16" s="81">
        <f>+N16*O16-[1]โอเชี่ยนกรีน!V26</f>
        <v>13506735.511500001</v>
      </c>
      <c r="Y16" s="82">
        <f>+X16-S16+V16</f>
        <v>5788600.9335000012</v>
      </c>
      <c r="Z16" s="83">
        <f>+W16</f>
        <v>7718134.5779999997</v>
      </c>
      <c r="AA16" s="84">
        <f>+[1]โอเชี่ยนกรีน!C40</f>
        <v>321588.94075000001</v>
      </c>
      <c r="AB16" s="84">
        <f>+[1]โอเชี่ยนกรีน!C39</f>
        <v>321588.94075000001</v>
      </c>
      <c r="AC16" s="84">
        <f>+[1]โอเชี่ยนกรีน!C38</f>
        <v>321588.94075000001</v>
      </c>
      <c r="AD16" s="84">
        <f>SUM([1]โอเชี่ยนกรีน!C27:C40)+[1]โอเชี่ยนกรีน!S26</f>
        <v>4542584.0871024998</v>
      </c>
      <c r="AE16" s="85">
        <f>SUM(Z16:AD16)</f>
        <v>13225485.487352498</v>
      </c>
      <c r="AF16" s="18">
        <f t="shared" si="11"/>
        <v>0</v>
      </c>
      <c r="AG16" s="76">
        <f t="shared" si="12"/>
        <v>20646009.996150002</v>
      </c>
      <c r="AH16" s="86">
        <f t="shared" si="12"/>
        <v>14151269.471467176</v>
      </c>
      <c r="AI16" s="61">
        <f t="shared" si="16"/>
        <v>584</v>
      </c>
      <c r="AJ16" s="87">
        <f t="shared" si="17"/>
        <v>5892865.4730071751</v>
      </c>
      <c r="AK16" s="88">
        <f t="shared" si="8"/>
        <v>8258403.9984600004</v>
      </c>
      <c r="AL16" s="89">
        <f t="shared" si="8"/>
        <v>344100.16660250002</v>
      </c>
      <c r="AM16" s="89">
        <f t="shared" si="8"/>
        <v>344100.16660250002</v>
      </c>
      <c r="AN16" s="89">
        <f t="shared" si="8"/>
        <v>344100.16660250002</v>
      </c>
      <c r="AO16" s="89">
        <f t="shared" si="8"/>
        <v>4860564.9731996749</v>
      </c>
      <c r="AP16" s="90">
        <f t="shared" si="9"/>
        <v>14151269.471467175</v>
      </c>
      <c r="AQ16" s="18">
        <f t="shared" si="6"/>
        <v>0</v>
      </c>
      <c r="AR16" s="66">
        <v>30</v>
      </c>
      <c r="AS16" s="208" t="s">
        <v>56</v>
      </c>
      <c r="AT16" s="16"/>
      <c r="AU16" s="16"/>
      <c r="AV16" s="18"/>
      <c r="AW16" s="18"/>
      <c r="AX16" s="16"/>
      <c r="AY16" s="226" t="s">
        <v>27</v>
      </c>
      <c r="AZ16" s="109">
        <f>+AV7+AZ7</f>
        <v>340952390.75014448</v>
      </c>
      <c r="BA16" s="223">
        <f>+AZ16/$AZ$21</f>
        <v>0.91389956371471137</v>
      </c>
    </row>
    <row r="17" spans="1:53" x14ac:dyDescent="0.35">
      <c r="A17" s="13"/>
      <c r="B17" s="215">
        <v>13</v>
      </c>
      <c r="C17" s="48" t="s">
        <v>82</v>
      </c>
      <c r="D17" s="72" t="s">
        <v>83</v>
      </c>
      <c r="E17" s="72" t="s">
        <v>84</v>
      </c>
      <c r="F17" s="73" t="s">
        <v>40</v>
      </c>
      <c r="G17" s="74">
        <v>45014</v>
      </c>
      <c r="H17" s="74">
        <v>46840</v>
      </c>
      <c r="I17" s="74">
        <v>45082</v>
      </c>
      <c r="J17" s="74">
        <v>46878</v>
      </c>
      <c r="K17" s="75">
        <v>0.14045152999999999</v>
      </c>
      <c r="L17" s="73">
        <v>60</v>
      </c>
      <c r="M17" s="73">
        <v>2</v>
      </c>
      <c r="N17" s="48">
        <f t="shared" si="0"/>
        <v>58</v>
      </c>
      <c r="O17" s="76">
        <v>153492.08205887821</v>
      </c>
      <c r="P17" s="76">
        <v>6590000</v>
      </c>
      <c r="Q17" s="76">
        <v>2619524.923532695</v>
      </c>
      <c r="R17" s="76">
        <f t="shared" si="1"/>
        <v>9209524.9235326946</v>
      </c>
      <c r="S17" s="77">
        <f t="shared" si="2"/>
        <v>8872884.2851590589</v>
      </c>
      <c r="T17" s="78">
        <f>SUM([1]ชุมพร!C8:C9)+[1]ชุมพร!C10-[1]ชุมพร!S10</f>
        <v>336640.63837363495</v>
      </c>
      <c r="U17" s="79">
        <f>+[1]ชุมพร!L3</f>
        <v>823</v>
      </c>
      <c r="V17" s="76">
        <f>SUM([1]ชุมพร!C11:C35)+[1]ชุมพร!S10</f>
        <v>3961137.6592749539</v>
      </c>
      <c r="W17" s="77">
        <f>S17-V17</f>
        <v>4911746.6258841045</v>
      </c>
      <c r="X17" s="81">
        <f t="shared" ref="X17:X53" si="21">+N17*O17</f>
        <v>8902540.7594149355</v>
      </c>
      <c r="Y17" s="82">
        <f t="shared" si="7"/>
        <v>3990794.1335308305</v>
      </c>
      <c r="Z17" s="83">
        <f>+W17</f>
        <v>4911746.6258841045</v>
      </c>
      <c r="AA17" s="84">
        <f>+[1]ชุมพร!C35</f>
        <v>153492.08205887821</v>
      </c>
      <c r="AB17" s="84">
        <f>+AA17</f>
        <v>153492.08205887821</v>
      </c>
      <c r="AC17" s="84">
        <f>+AB17</f>
        <v>153492.08205887821</v>
      </c>
      <c r="AD17" s="84">
        <f>+V17-AA17-AB17-AC17</f>
        <v>3500661.4130983194</v>
      </c>
      <c r="AE17" s="85">
        <f t="shared" si="20"/>
        <v>8872884.2851590589</v>
      </c>
      <c r="AF17" s="18">
        <f t="shared" si="11"/>
        <v>0</v>
      </c>
      <c r="AG17" s="76">
        <f t="shared" si="12"/>
        <v>9854191.6681799833</v>
      </c>
      <c r="AH17" s="86">
        <f t="shared" si="12"/>
        <v>9493986.1851201933</v>
      </c>
      <c r="AI17" s="61">
        <f t="shared" si="16"/>
        <v>823</v>
      </c>
      <c r="AJ17" s="87">
        <f t="shared" si="17"/>
        <v>4238417.2954242006</v>
      </c>
      <c r="AK17" s="88">
        <f t="shared" si="8"/>
        <v>5255568.8896959918</v>
      </c>
      <c r="AL17" s="89">
        <f t="shared" si="8"/>
        <v>164236.52780299968</v>
      </c>
      <c r="AM17" s="89">
        <f t="shared" si="8"/>
        <v>164236.52780299968</v>
      </c>
      <c r="AN17" s="89">
        <f t="shared" si="8"/>
        <v>164236.52780299968</v>
      </c>
      <c r="AO17" s="89">
        <f t="shared" si="8"/>
        <v>3745707.7120152018</v>
      </c>
      <c r="AP17" s="90">
        <f t="shared" si="9"/>
        <v>9493986.1851201933</v>
      </c>
      <c r="AQ17" s="18">
        <f t="shared" si="6"/>
        <v>0</v>
      </c>
      <c r="AR17" s="66">
        <v>5</v>
      </c>
      <c r="AS17" s="208" t="s">
        <v>68</v>
      </c>
      <c r="AT17" s="16"/>
      <c r="AU17" s="16"/>
      <c r="AV17" s="18"/>
      <c r="AW17" s="18"/>
      <c r="AX17" s="16"/>
      <c r="AY17" s="226" t="s">
        <v>28</v>
      </c>
      <c r="AZ17" s="109">
        <f t="shared" ref="AZ17:AZ20" si="22">+AV8+AZ8</f>
        <v>3071028.1021271641</v>
      </c>
      <c r="BA17" s="223">
        <f t="shared" ref="BA17:BA21" si="23">+AZ17/$AZ$21</f>
        <v>8.2316807825124298E-3</v>
      </c>
    </row>
    <row r="18" spans="1:53" x14ac:dyDescent="0.35">
      <c r="A18" s="13"/>
      <c r="B18" s="215">
        <v>14</v>
      </c>
      <c r="C18" s="48" t="s">
        <v>85</v>
      </c>
      <c r="D18" s="72" t="s">
        <v>86</v>
      </c>
      <c r="E18" s="72" t="s">
        <v>87</v>
      </c>
      <c r="F18" s="73" t="s">
        <v>40</v>
      </c>
      <c r="G18" s="74">
        <v>45229</v>
      </c>
      <c r="H18" s="74">
        <v>47055</v>
      </c>
      <c r="I18" s="74">
        <v>45132</v>
      </c>
      <c r="J18" s="74">
        <v>46931</v>
      </c>
      <c r="K18" s="75">
        <v>0.15</v>
      </c>
      <c r="L18" s="73">
        <v>60</v>
      </c>
      <c r="M18" s="73">
        <v>1</v>
      </c>
      <c r="N18" s="48">
        <f t="shared" si="0"/>
        <v>59</v>
      </c>
      <c r="O18" s="76">
        <v>55210.51175125</v>
      </c>
      <c r="P18" s="76">
        <v>2320581.9300000006</v>
      </c>
      <c r="Q18" s="76">
        <v>992048.77507500176</v>
      </c>
      <c r="R18" s="76">
        <f t="shared" si="1"/>
        <v>3312630.7050750023</v>
      </c>
      <c r="S18" s="77">
        <f t="shared" si="2"/>
        <v>3257420.1933237524</v>
      </c>
      <c r="T18" s="78">
        <f>SUM('[1]โตโน่ 1'!C8)</f>
        <v>55210.51175125</v>
      </c>
      <c r="U18" s="79">
        <f>+'[1]โตโน่ 1'!K2</f>
        <v>284</v>
      </c>
      <c r="V18" s="76">
        <f>SUM('[1]โตโน่ 1'!C9:C17)</f>
        <v>496894.60576125007</v>
      </c>
      <c r="W18" s="77">
        <f>S18-V18</f>
        <v>2760525.5875625024</v>
      </c>
      <c r="X18" s="81">
        <f t="shared" si="21"/>
        <v>3257420.19332375</v>
      </c>
      <c r="Y18" s="82">
        <f>+X18-S18+V18</f>
        <v>496894.60576124775</v>
      </c>
      <c r="Z18" s="83">
        <f>+W18</f>
        <v>2760525.5875625024</v>
      </c>
      <c r="AA18" s="84">
        <f>+'[1]โตโน่ 1'!C13</f>
        <v>55210.51175125</v>
      </c>
      <c r="AB18" s="84">
        <f>+'[1]โตโน่ 1'!C12</f>
        <v>55210.51175125</v>
      </c>
      <c r="AC18" s="84">
        <f>+'[1]โตโน่ 1'!C11</f>
        <v>55210.51175125</v>
      </c>
      <c r="AD18" s="84">
        <f>SUM('[1]โตโน่ 1'!C9:C14)</f>
        <v>331263.07050750003</v>
      </c>
      <c r="AE18" s="85">
        <f t="shared" si="20"/>
        <v>3257420.1933237519</v>
      </c>
      <c r="AF18" s="18">
        <f t="shared" si="11"/>
        <v>0</v>
      </c>
      <c r="AG18" s="76">
        <f t="shared" si="12"/>
        <v>3544514.8544302527</v>
      </c>
      <c r="AH18" s="86">
        <f t="shared" si="12"/>
        <v>3485439.606856415</v>
      </c>
      <c r="AI18" s="61">
        <f t="shared" si="16"/>
        <v>284</v>
      </c>
      <c r="AJ18" s="87">
        <f t="shared" si="17"/>
        <v>531677.22816453758</v>
      </c>
      <c r="AK18" s="88">
        <f t="shared" si="8"/>
        <v>2953762.3786918777</v>
      </c>
      <c r="AL18" s="89">
        <f t="shared" si="8"/>
        <v>59075.247573837507</v>
      </c>
      <c r="AM18" s="89">
        <f t="shared" si="8"/>
        <v>59075.247573837507</v>
      </c>
      <c r="AN18" s="89">
        <f t="shared" si="8"/>
        <v>59075.247573837507</v>
      </c>
      <c r="AO18" s="89">
        <f t="shared" si="8"/>
        <v>354451.48544302507</v>
      </c>
      <c r="AP18" s="90">
        <f t="shared" si="9"/>
        <v>3485439.6068564155</v>
      </c>
      <c r="AQ18" s="18">
        <f t="shared" si="6"/>
        <v>0</v>
      </c>
      <c r="AR18" s="66">
        <v>25</v>
      </c>
      <c r="AS18" s="208" t="s">
        <v>56</v>
      </c>
      <c r="AT18" s="16"/>
      <c r="AU18" s="16"/>
      <c r="AV18" s="16"/>
      <c r="AW18" s="16"/>
      <c r="AX18" s="16"/>
      <c r="AY18" s="226" t="s">
        <v>29</v>
      </c>
      <c r="AZ18" s="109">
        <f t="shared" si="22"/>
        <v>2567734.3311544703</v>
      </c>
      <c r="BA18" s="223">
        <f t="shared" si="23"/>
        <v>6.8826362525699998E-3</v>
      </c>
    </row>
    <row r="19" spans="1:53" x14ac:dyDescent="0.35">
      <c r="A19" s="13"/>
      <c r="B19" s="215">
        <v>15</v>
      </c>
      <c r="C19" s="48" t="s">
        <v>88</v>
      </c>
      <c r="D19" s="72" t="s">
        <v>89</v>
      </c>
      <c r="E19" s="72" t="s">
        <v>90</v>
      </c>
      <c r="F19" s="73" t="s">
        <v>40</v>
      </c>
      <c r="G19" s="74">
        <v>45149</v>
      </c>
      <c r="H19" s="74">
        <v>46244</v>
      </c>
      <c r="I19" s="74">
        <v>45194</v>
      </c>
      <c r="J19" s="74">
        <v>46259</v>
      </c>
      <c r="K19" s="75">
        <v>8.2650000000000001E-2</v>
      </c>
      <c r="L19" s="73">
        <v>36</v>
      </c>
      <c r="M19" s="73">
        <v>23</v>
      </c>
      <c r="N19" s="48">
        <f t="shared" si="0"/>
        <v>13</v>
      </c>
      <c r="O19" s="76">
        <v>60664.236111111109</v>
      </c>
      <c r="P19" s="76">
        <v>1750000</v>
      </c>
      <c r="Q19" s="76">
        <v>433912.5</v>
      </c>
      <c r="R19" s="76">
        <f t="shared" si="1"/>
        <v>2183912.5</v>
      </c>
      <c r="S19" s="77">
        <f t="shared" si="2"/>
        <v>788635.0694444445</v>
      </c>
      <c r="T19" s="78">
        <f>+M19*O19</f>
        <v>1395277.4305555555</v>
      </c>
      <c r="U19" s="79">
        <f>+[1]ภาคใต้!L3</f>
        <v>72</v>
      </c>
      <c r="V19" s="76">
        <f>SUM([1]ภาคใต้!C31:C32)</f>
        <v>121328.47222222222</v>
      </c>
      <c r="W19" s="77">
        <f t="shared" si="19"/>
        <v>667306.59722222225</v>
      </c>
      <c r="X19" s="81">
        <f t="shared" si="21"/>
        <v>788635.06944444438</v>
      </c>
      <c r="Y19" s="82">
        <f t="shared" si="7"/>
        <v>121328.4722222221</v>
      </c>
      <c r="Z19" s="83">
        <f>+W19</f>
        <v>667306.59722222225</v>
      </c>
      <c r="AA19" s="84">
        <f>+O19</f>
        <v>60664.236111111109</v>
      </c>
      <c r="AB19" s="84">
        <f>+O19</f>
        <v>60664.236111111109</v>
      </c>
      <c r="AC19" s="84"/>
      <c r="AD19" s="84"/>
      <c r="AE19" s="85">
        <f t="shared" si="20"/>
        <v>788635.0694444445</v>
      </c>
      <c r="AF19" s="18">
        <f t="shared" si="11"/>
        <v>0</v>
      </c>
      <c r="AG19" s="76">
        <f t="shared" si="12"/>
        <v>2336786.375</v>
      </c>
      <c r="AH19" s="86">
        <f t="shared" si="12"/>
        <v>843839.52430555562</v>
      </c>
      <c r="AI19" s="61">
        <f t="shared" si="16"/>
        <v>72</v>
      </c>
      <c r="AJ19" s="87">
        <f t="shared" si="17"/>
        <v>129821.46527777778</v>
      </c>
      <c r="AK19" s="88">
        <f t="shared" si="8"/>
        <v>714018.05902777787</v>
      </c>
      <c r="AL19" s="89">
        <f t="shared" si="8"/>
        <v>64910.732638888891</v>
      </c>
      <c r="AM19" s="89">
        <f t="shared" si="8"/>
        <v>64910.732638888891</v>
      </c>
      <c r="AN19" s="89">
        <f t="shared" si="8"/>
        <v>0</v>
      </c>
      <c r="AO19" s="89">
        <f t="shared" si="8"/>
        <v>0</v>
      </c>
      <c r="AP19" s="90">
        <f t="shared" si="9"/>
        <v>843839.52430555562</v>
      </c>
      <c r="AQ19" s="18">
        <f t="shared" si="6"/>
        <v>0</v>
      </c>
      <c r="AR19" s="66">
        <v>25</v>
      </c>
      <c r="AS19" s="208" t="s">
        <v>68</v>
      </c>
      <c r="AT19" s="16"/>
      <c r="AU19" s="16"/>
      <c r="AV19" s="16"/>
      <c r="AW19" s="16"/>
      <c r="AX19" s="16"/>
      <c r="AY19" s="226" t="s">
        <v>30</v>
      </c>
      <c r="AZ19" s="109">
        <f t="shared" si="22"/>
        <v>2403986.6412822474</v>
      </c>
      <c r="BA19" s="223">
        <f t="shared" si="23"/>
        <v>6.4437217695119189E-3</v>
      </c>
    </row>
    <row r="20" spans="1:53" x14ac:dyDescent="0.35">
      <c r="A20" s="13"/>
      <c r="B20" s="215">
        <v>16</v>
      </c>
      <c r="C20" s="48" t="s">
        <v>91</v>
      </c>
      <c r="D20" s="72" t="s">
        <v>92</v>
      </c>
      <c r="E20" s="72" t="s">
        <v>93</v>
      </c>
      <c r="F20" s="73" t="s">
        <v>40</v>
      </c>
      <c r="G20" s="74">
        <v>45160</v>
      </c>
      <c r="H20" s="74">
        <v>46620</v>
      </c>
      <c r="I20" s="74">
        <v>45214</v>
      </c>
      <c r="J20" s="74">
        <v>46645</v>
      </c>
      <c r="K20" s="75">
        <v>0.15</v>
      </c>
      <c r="L20" s="73">
        <v>48</v>
      </c>
      <c r="M20" s="73">
        <v>24</v>
      </c>
      <c r="N20" s="48">
        <f t="shared" si="0"/>
        <v>24</v>
      </c>
      <c r="O20" s="76">
        <v>97589.689248428855</v>
      </c>
      <c r="P20" s="76">
        <v>3506542.0560747664</v>
      </c>
      <c r="Q20" s="76">
        <v>1177763.0278498195</v>
      </c>
      <c r="R20" s="76">
        <f t="shared" si="1"/>
        <v>4684305.083924586</v>
      </c>
      <c r="S20" s="77">
        <f t="shared" si="2"/>
        <v>2342152.5419622934</v>
      </c>
      <c r="T20" s="78">
        <f>+M20*O20</f>
        <v>2342152.5419622925</v>
      </c>
      <c r="U20" s="79"/>
      <c r="V20" s="76"/>
      <c r="W20" s="77">
        <f t="shared" si="19"/>
        <v>2342152.5419622934</v>
      </c>
      <c r="X20" s="81">
        <f t="shared" si="21"/>
        <v>2342152.5419622925</v>
      </c>
      <c r="Y20" s="82">
        <f>+X20-S20+V20</f>
        <v>-9.3132257461547852E-10</v>
      </c>
      <c r="Z20" s="83">
        <f t="shared" ref="Z20" si="24">+S20</f>
        <v>2342152.5419622934</v>
      </c>
      <c r="AA20" s="84"/>
      <c r="AB20" s="84"/>
      <c r="AC20" s="84"/>
      <c r="AD20" s="84"/>
      <c r="AE20" s="85">
        <f t="shared" si="20"/>
        <v>2342152.5419622934</v>
      </c>
      <c r="AF20" s="18">
        <f t="shared" si="11"/>
        <v>0</v>
      </c>
      <c r="AG20" s="76">
        <f t="shared" si="12"/>
        <v>5012206.4397993069</v>
      </c>
      <c r="AH20" s="86">
        <f t="shared" si="12"/>
        <v>2506103.2198996539</v>
      </c>
      <c r="AI20" s="61">
        <f t="shared" si="16"/>
        <v>0</v>
      </c>
      <c r="AJ20" s="87">
        <f t="shared" si="17"/>
        <v>0</v>
      </c>
      <c r="AK20" s="88">
        <f t="shared" si="8"/>
        <v>2506103.2198996539</v>
      </c>
      <c r="AL20" s="89">
        <f t="shared" si="8"/>
        <v>0</v>
      </c>
      <c r="AM20" s="89">
        <f t="shared" si="8"/>
        <v>0</v>
      </c>
      <c r="AN20" s="89">
        <f t="shared" si="8"/>
        <v>0</v>
      </c>
      <c r="AO20" s="89">
        <f t="shared" si="8"/>
        <v>0</v>
      </c>
      <c r="AP20" s="90">
        <f t="shared" si="9"/>
        <v>2506103.2198996539</v>
      </c>
      <c r="AQ20" s="18">
        <f t="shared" si="6"/>
        <v>0</v>
      </c>
      <c r="AR20" s="66">
        <v>15</v>
      </c>
      <c r="AS20" s="208" t="s">
        <v>41</v>
      </c>
      <c r="AT20" s="16"/>
      <c r="AU20" s="16"/>
      <c r="AV20" s="16"/>
      <c r="AW20" s="16"/>
      <c r="AX20" s="16"/>
      <c r="AY20" s="226" t="s">
        <v>31</v>
      </c>
      <c r="AZ20" s="109">
        <f t="shared" si="22"/>
        <v>24079106.282031581</v>
      </c>
      <c r="BA20" s="223">
        <f t="shared" si="23"/>
        <v>6.4542397480694305E-2</v>
      </c>
    </row>
    <row r="21" spans="1:53" x14ac:dyDescent="0.35">
      <c r="A21" s="13"/>
      <c r="B21" s="215">
        <v>17</v>
      </c>
      <c r="C21" s="48" t="s">
        <v>94</v>
      </c>
      <c r="D21" s="72" t="s">
        <v>95</v>
      </c>
      <c r="E21" s="72" t="s">
        <v>96</v>
      </c>
      <c r="F21" s="73" t="s">
        <v>40</v>
      </c>
      <c r="G21" s="74">
        <v>45201</v>
      </c>
      <c r="H21" s="74">
        <v>46296</v>
      </c>
      <c r="I21" s="74">
        <v>45204</v>
      </c>
      <c r="J21" s="74">
        <v>46270</v>
      </c>
      <c r="K21" s="75">
        <v>0.15</v>
      </c>
      <c r="L21" s="73">
        <v>36</v>
      </c>
      <c r="M21" s="73">
        <v>24</v>
      </c>
      <c r="N21" s="48">
        <f t="shared" si="0"/>
        <v>12</v>
      </c>
      <c r="O21" s="76">
        <v>24265.729952935893</v>
      </c>
      <c r="P21" s="76">
        <v>700000</v>
      </c>
      <c r="Q21" s="76">
        <v>173566.27830569184</v>
      </c>
      <c r="R21" s="76">
        <f t="shared" si="1"/>
        <v>873566.2783056919</v>
      </c>
      <c r="S21" s="77">
        <f t="shared" si="2"/>
        <v>291188.7594352304</v>
      </c>
      <c r="T21" s="78">
        <f>+M21*O21</f>
        <v>582377.5188704615</v>
      </c>
      <c r="U21" s="79"/>
      <c r="V21" s="76"/>
      <c r="W21" s="77">
        <f t="shared" si="19"/>
        <v>291188.7594352304</v>
      </c>
      <c r="X21" s="81">
        <f t="shared" si="21"/>
        <v>291188.75943523075</v>
      </c>
      <c r="Y21" s="82">
        <f t="shared" si="7"/>
        <v>3.4924596548080444E-10</v>
      </c>
      <c r="Z21" s="83">
        <f>+W21</f>
        <v>291188.7594352304</v>
      </c>
      <c r="AA21" s="84"/>
      <c r="AB21" s="84"/>
      <c r="AC21" s="84"/>
      <c r="AD21" s="84"/>
      <c r="AE21" s="85">
        <f t="shared" si="20"/>
        <v>291188.7594352304</v>
      </c>
      <c r="AF21" s="18">
        <f t="shared" si="11"/>
        <v>0</v>
      </c>
      <c r="AG21" s="76">
        <f t="shared" si="12"/>
        <v>934715.91778709041</v>
      </c>
      <c r="AH21" s="86">
        <f t="shared" si="12"/>
        <v>311571.97259569657</v>
      </c>
      <c r="AI21" s="61">
        <f t="shared" si="16"/>
        <v>0</v>
      </c>
      <c r="AJ21" s="87">
        <f t="shared" si="17"/>
        <v>0</v>
      </c>
      <c r="AK21" s="88">
        <f t="shared" si="8"/>
        <v>311571.97259569657</v>
      </c>
      <c r="AL21" s="89">
        <f t="shared" si="8"/>
        <v>0</v>
      </c>
      <c r="AM21" s="89">
        <f t="shared" si="8"/>
        <v>0</v>
      </c>
      <c r="AN21" s="89">
        <f t="shared" si="8"/>
        <v>0</v>
      </c>
      <c r="AO21" s="89">
        <f t="shared" si="8"/>
        <v>0</v>
      </c>
      <c r="AP21" s="90">
        <f t="shared" si="9"/>
        <v>311571.97259569657</v>
      </c>
      <c r="AQ21" s="18">
        <f t="shared" si="6"/>
        <v>0</v>
      </c>
      <c r="AR21" s="66">
        <v>5</v>
      </c>
      <c r="AS21" s="208" t="s">
        <v>41</v>
      </c>
      <c r="AT21" s="16"/>
      <c r="AU21" s="16"/>
      <c r="AV21" s="16"/>
      <c r="AW21" s="16"/>
      <c r="AX21" s="16"/>
      <c r="AY21" s="108" t="s">
        <v>32</v>
      </c>
      <c r="AZ21" s="110">
        <f>SUM(AZ16:AZ20)</f>
        <v>373074246.10673994</v>
      </c>
      <c r="BA21" s="223">
        <f t="shared" si="23"/>
        <v>1</v>
      </c>
    </row>
    <row r="22" spans="1:53" x14ac:dyDescent="0.35">
      <c r="A22" s="13"/>
      <c r="B22" s="215">
        <v>18</v>
      </c>
      <c r="C22" s="48" t="s">
        <v>97</v>
      </c>
      <c r="D22" s="72" t="s">
        <v>98</v>
      </c>
      <c r="E22" s="72" t="s">
        <v>99</v>
      </c>
      <c r="F22" s="73" t="s">
        <v>40</v>
      </c>
      <c r="G22" s="74">
        <v>45230</v>
      </c>
      <c r="H22" s="74">
        <v>45960</v>
      </c>
      <c r="I22" s="74">
        <v>45265</v>
      </c>
      <c r="J22" s="74">
        <v>45966</v>
      </c>
      <c r="K22" s="75">
        <v>8.1839999999999996E-2</v>
      </c>
      <c r="L22" s="73">
        <v>24</v>
      </c>
      <c r="M22" s="73">
        <v>22</v>
      </c>
      <c r="N22" s="48">
        <f t="shared" si="0"/>
        <v>2</v>
      </c>
      <c r="O22" s="76">
        <v>79421.16</v>
      </c>
      <c r="P22" s="76">
        <v>1638000</v>
      </c>
      <c r="Q22" s="76">
        <v>268107.84000000003</v>
      </c>
      <c r="R22" s="76">
        <f t="shared" si="1"/>
        <v>1906107.84</v>
      </c>
      <c r="S22" s="77">
        <f t="shared" si="2"/>
        <v>158842.32000000007</v>
      </c>
      <c r="T22" s="78">
        <f>+M22*O22</f>
        <v>1747265.52</v>
      </c>
      <c r="U22" s="79"/>
      <c r="V22" s="76"/>
      <c r="W22" s="77">
        <f>S22-V22</f>
        <v>158842.32000000007</v>
      </c>
      <c r="X22" s="81">
        <f t="shared" si="21"/>
        <v>158842.32</v>
      </c>
      <c r="Y22" s="82">
        <f t="shared" si="7"/>
        <v>-5.8207660913467407E-11</v>
      </c>
      <c r="Z22" s="83">
        <f t="shared" ref="Z22:Z23" si="25">+W22</f>
        <v>158842.32000000007</v>
      </c>
      <c r="AA22" s="84"/>
      <c r="AB22" s="84"/>
      <c r="AC22" s="84"/>
      <c r="AD22" s="84"/>
      <c r="AE22" s="85">
        <f t="shared" si="20"/>
        <v>158842.32000000007</v>
      </c>
      <c r="AF22" s="18">
        <f t="shared" si="11"/>
        <v>0</v>
      </c>
      <c r="AG22" s="76">
        <f t="shared" si="12"/>
        <v>2039535.3888000003</v>
      </c>
      <c r="AH22" s="86">
        <f t="shared" si="12"/>
        <v>169961.28240000008</v>
      </c>
      <c r="AI22" s="61">
        <f t="shared" si="16"/>
        <v>0</v>
      </c>
      <c r="AJ22" s="87">
        <f t="shared" si="17"/>
        <v>0</v>
      </c>
      <c r="AK22" s="88">
        <f t="shared" ref="AK22:AO45" si="26">+Z22*1.07</f>
        <v>169961.28240000008</v>
      </c>
      <c r="AL22" s="89">
        <f t="shared" si="26"/>
        <v>0</v>
      </c>
      <c r="AM22" s="89">
        <f t="shared" si="26"/>
        <v>0</v>
      </c>
      <c r="AN22" s="89">
        <f t="shared" si="26"/>
        <v>0</v>
      </c>
      <c r="AO22" s="89">
        <f t="shared" si="26"/>
        <v>0</v>
      </c>
      <c r="AP22" s="90">
        <f t="shared" si="9"/>
        <v>169961.28240000008</v>
      </c>
      <c r="AQ22" s="18">
        <f t="shared" si="6"/>
        <v>0</v>
      </c>
      <c r="AR22" s="66">
        <v>5</v>
      </c>
      <c r="AS22" s="208" t="s">
        <v>41</v>
      </c>
      <c r="AT22" s="16"/>
      <c r="AU22" s="16"/>
      <c r="AV22" s="16"/>
      <c r="AW22" s="16"/>
      <c r="AX22" s="16"/>
      <c r="AY22" s="16"/>
      <c r="AZ22" s="16"/>
      <c r="BA22" s="14"/>
    </row>
    <row r="23" spans="1:53" x14ac:dyDescent="0.35">
      <c r="A23" s="13"/>
      <c r="B23" s="215">
        <v>19</v>
      </c>
      <c r="C23" s="48" t="s">
        <v>100</v>
      </c>
      <c r="D23" s="72" t="s">
        <v>101</v>
      </c>
      <c r="E23" s="72" t="s">
        <v>102</v>
      </c>
      <c r="F23" s="73" t="s">
        <v>40</v>
      </c>
      <c r="G23" s="74">
        <v>45294</v>
      </c>
      <c r="H23" s="74">
        <v>47120</v>
      </c>
      <c r="I23" s="74">
        <v>45327</v>
      </c>
      <c r="J23" s="74">
        <v>43470</v>
      </c>
      <c r="K23" s="75">
        <v>0.08</v>
      </c>
      <c r="L23" s="73">
        <v>60</v>
      </c>
      <c r="M23" s="73">
        <v>20</v>
      </c>
      <c r="N23" s="48">
        <f t="shared" si="0"/>
        <v>40</v>
      </c>
      <c r="O23" s="76">
        <v>61059.190033333332</v>
      </c>
      <c r="P23" s="76">
        <v>2616822.4300000002</v>
      </c>
      <c r="Q23" s="76">
        <v>1046728.9719999991</v>
      </c>
      <c r="R23" s="76">
        <f t="shared" si="1"/>
        <v>3663551.4019999993</v>
      </c>
      <c r="S23" s="77">
        <f t="shared" si="2"/>
        <v>2442367.6013333327</v>
      </c>
      <c r="T23" s="78">
        <f>+M23*O23</f>
        <v>1221183.8006666666</v>
      </c>
      <c r="U23" s="79"/>
      <c r="V23" s="76"/>
      <c r="W23" s="77">
        <f t="shared" si="19"/>
        <v>2442367.6013333327</v>
      </c>
      <c r="X23" s="81">
        <f t="shared" si="21"/>
        <v>2442367.6013333332</v>
      </c>
      <c r="Y23" s="82">
        <f>+X23-S23+V23</f>
        <v>4.6566128730773926E-10</v>
      </c>
      <c r="Z23" s="83">
        <f t="shared" si="25"/>
        <v>2442367.6013333327</v>
      </c>
      <c r="AA23" s="84"/>
      <c r="AB23" s="84"/>
      <c r="AC23" s="84"/>
      <c r="AD23" s="84"/>
      <c r="AE23" s="85">
        <f t="shared" si="20"/>
        <v>2442367.6013333327</v>
      </c>
      <c r="AF23" s="18">
        <f t="shared" si="11"/>
        <v>0</v>
      </c>
      <c r="AG23" s="76">
        <f t="shared" si="12"/>
        <v>3920000.0001399997</v>
      </c>
      <c r="AH23" s="86">
        <f t="shared" si="12"/>
        <v>2613333.333426666</v>
      </c>
      <c r="AI23" s="61">
        <f t="shared" si="16"/>
        <v>0</v>
      </c>
      <c r="AJ23" s="87">
        <f t="shared" si="17"/>
        <v>0</v>
      </c>
      <c r="AK23" s="88">
        <f t="shared" si="26"/>
        <v>2613333.333426666</v>
      </c>
      <c r="AL23" s="89">
        <f t="shared" si="26"/>
        <v>0</v>
      </c>
      <c r="AM23" s="89">
        <f t="shared" si="26"/>
        <v>0</v>
      </c>
      <c r="AN23" s="89">
        <f t="shared" si="26"/>
        <v>0</v>
      </c>
      <c r="AO23" s="89">
        <f t="shared" si="26"/>
        <v>0</v>
      </c>
      <c r="AP23" s="90">
        <f t="shared" si="9"/>
        <v>2613333.333426666</v>
      </c>
      <c r="AQ23" s="18">
        <f t="shared" si="6"/>
        <v>0</v>
      </c>
      <c r="AR23" s="66">
        <v>5</v>
      </c>
      <c r="AS23" s="208" t="s">
        <v>41</v>
      </c>
      <c r="AT23" s="16"/>
      <c r="AU23" s="16"/>
      <c r="AV23" s="16"/>
      <c r="AW23" s="16"/>
      <c r="AX23" s="16"/>
      <c r="AY23" s="16"/>
      <c r="AZ23" s="16"/>
      <c r="BA23" s="14"/>
    </row>
    <row r="24" spans="1:53" x14ac:dyDescent="0.35">
      <c r="A24" s="13"/>
      <c r="B24" s="215">
        <v>20</v>
      </c>
      <c r="C24" s="95" t="s">
        <v>103</v>
      </c>
      <c r="D24" s="96" t="s">
        <v>104</v>
      </c>
      <c r="E24" s="96" t="s">
        <v>105</v>
      </c>
      <c r="F24" s="97" t="s">
        <v>40</v>
      </c>
      <c r="G24" s="98">
        <v>45306</v>
      </c>
      <c r="H24" s="98">
        <v>47132</v>
      </c>
      <c r="I24" s="98">
        <v>45387</v>
      </c>
      <c r="J24" s="98">
        <v>47182</v>
      </c>
      <c r="K24" s="99">
        <v>0.15</v>
      </c>
      <c r="L24" s="97">
        <v>60</v>
      </c>
      <c r="M24" s="97">
        <v>1</v>
      </c>
      <c r="N24" s="48">
        <f t="shared" si="0"/>
        <v>59</v>
      </c>
      <c r="O24" s="100">
        <v>252788.68439651511</v>
      </c>
      <c r="P24" s="100">
        <v>10625869.158878505</v>
      </c>
      <c r="Q24" s="100">
        <v>4541451.9049123982</v>
      </c>
      <c r="R24" s="100">
        <f t="shared" si="1"/>
        <v>15167321.063790902</v>
      </c>
      <c r="S24" s="80">
        <f t="shared" si="2"/>
        <v>14914532.379394388</v>
      </c>
      <c r="T24" s="101">
        <v>252788.68439651511</v>
      </c>
      <c r="U24" s="102">
        <f>+[1]พีพี!L4</f>
        <v>549</v>
      </c>
      <c r="V24" s="100">
        <f>SUM([1]พีพี!C9:C25)</f>
        <v>4297407.6347407568</v>
      </c>
      <c r="W24" s="80">
        <f t="shared" si="19"/>
        <v>10617124.744653631</v>
      </c>
      <c r="X24" s="81">
        <f t="shared" si="21"/>
        <v>14914532.379394392</v>
      </c>
      <c r="Y24" s="82">
        <f>+X24-S24+V24</f>
        <v>4297407.6347407605</v>
      </c>
      <c r="Z24" s="83">
        <f>+W24</f>
        <v>10617124.744653631</v>
      </c>
      <c r="AA24" s="84">
        <f>+[1]พีพี!C22</f>
        <v>252788.68439651511</v>
      </c>
      <c r="AB24" s="84">
        <f>+[1]พีพี!C21</f>
        <v>252788.68439651511</v>
      </c>
      <c r="AC24" s="84">
        <f>+[1]พีพี!C20</f>
        <v>252788.68439651511</v>
      </c>
      <c r="AD24" s="84">
        <f>SUM([1]พีพี!C9:C22)</f>
        <v>3539041.5815512114</v>
      </c>
      <c r="AE24" s="85">
        <f t="shared" si="20"/>
        <v>14914532.379394386</v>
      </c>
      <c r="AF24" s="18">
        <f t="shared" si="11"/>
        <v>0</v>
      </c>
      <c r="AG24" s="76">
        <f t="shared" si="12"/>
        <v>16229033.538256267</v>
      </c>
      <c r="AH24" s="86">
        <f t="shared" si="12"/>
        <v>15958549.645951996</v>
      </c>
      <c r="AI24" s="61">
        <f t="shared" si="16"/>
        <v>549</v>
      </c>
      <c r="AJ24" s="87">
        <f t="shared" si="17"/>
        <v>4598226.1691726102</v>
      </c>
      <c r="AK24" s="88">
        <f t="shared" si="26"/>
        <v>11360323.476779386</v>
      </c>
      <c r="AL24" s="89">
        <f t="shared" si="26"/>
        <v>270483.89230427117</v>
      </c>
      <c r="AM24" s="89">
        <f t="shared" si="26"/>
        <v>270483.89230427117</v>
      </c>
      <c r="AN24" s="89">
        <f t="shared" si="26"/>
        <v>270483.89230427117</v>
      </c>
      <c r="AO24" s="89">
        <f t="shared" si="26"/>
        <v>3786774.4922597962</v>
      </c>
      <c r="AP24" s="90">
        <f t="shared" si="9"/>
        <v>15958549.645951997</v>
      </c>
      <c r="AQ24" s="18">
        <f t="shared" si="6"/>
        <v>0</v>
      </c>
      <c r="AR24" s="66">
        <v>5</v>
      </c>
      <c r="AS24" s="208" t="s">
        <v>56</v>
      </c>
      <c r="AT24" s="16"/>
      <c r="AU24" s="16"/>
      <c r="AV24" s="16"/>
      <c r="AW24" s="16"/>
      <c r="AX24" s="16"/>
      <c r="AY24" s="16"/>
      <c r="AZ24" s="16"/>
      <c r="BA24" s="14"/>
    </row>
    <row r="25" spans="1:53" x14ac:dyDescent="0.35">
      <c r="A25" s="13"/>
      <c r="B25" s="215">
        <v>21</v>
      </c>
      <c r="C25" s="48" t="s">
        <v>106</v>
      </c>
      <c r="D25" s="72" t="s">
        <v>107</v>
      </c>
      <c r="E25" s="72" t="s">
        <v>105</v>
      </c>
      <c r="F25" s="73" t="s">
        <v>40</v>
      </c>
      <c r="G25" s="74">
        <v>45356</v>
      </c>
      <c r="H25" s="74">
        <v>47181</v>
      </c>
      <c r="I25" s="74">
        <v>45478</v>
      </c>
      <c r="J25" s="74">
        <v>47274</v>
      </c>
      <c r="K25" s="75">
        <v>8.5500000000000007E-2</v>
      </c>
      <c r="L25" s="73">
        <v>60</v>
      </c>
      <c r="M25" s="73">
        <v>12</v>
      </c>
      <c r="N25" s="48">
        <f t="shared" si="0"/>
        <v>48</v>
      </c>
      <c r="O25" s="76">
        <v>334187.572400701</v>
      </c>
      <c r="P25" s="76">
        <v>14046412.850467272</v>
      </c>
      <c r="Q25" s="76">
        <v>6004841.4935747581</v>
      </c>
      <c r="R25" s="76">
        <f t="shared" si="1"/>
        <v>20051254.344042029</v>
      </c>
      <c r="S25" s="77">
        <f t="shared" si="2"/>
        <v>16375191.050103068</v>
      </c>
      <c r="T25" s="78">
        <f>SUM([1]ชัยพร!C8:C18)-[1]ชัยพร!S18</f>
        <v>3676063.2939389618</v>
      </c>
      <c r="U25" s="79">
        <f>+[1]ชัยพร!L3</f>
        <v>123</v>
      </c>
      <c r="V25" s="76">
        <f>+[1]ชัยพร!C22+[1]ชัยพร!C21+[1]ชัยพร!C20</f>
        <v>1002562.717202103</v>
      </c>
      <c r="W25" s="77">
        <f t="shared" si="19"/>
        <v>15372628.332900966</v>
      </c>
      <c r="X25" s="81">
        <f t="shared" si="21"/>
        <v>16041003.475233648</v>
      </c>
      <c r="Y25" s="82">
        <f>+X25-S25+V25</f>
        <v>668375.14233268262</v>
      </c>
      <c r="Z25" s="83">
        <f>+W25</f>
        <v>15372628.332900966</v>
      </c>
      <c r="AA25" s="84">
        <f>+O25</f>
        <v>334187.572400701</v>
      </c>
      <c r="AB25" s="84">
        <f>+AA25</f>
        <v>334187.572400701</v>
      </c>
      <c r="AC25" s="84">
        <f>+AB25</f>
        <v>334187.572400701</v>
      </c>
      <c r="AD25" s="84"/>
      <c r="AE25" s="85">
        <f>SUM(Z25:AD25)</f>
        <v>16375191.050103066</v>
      </c>
      <c r="AF25" s="18">
        <f t="shared" si="11"/>
        <v>0</v>
      </c>
      <c r="AG25" s="76">
        <f t="shared" si="12"/>
        <v>21454842.148124974</v>
      </c>
      <c r="AH25" s="86">
        <f t="shared" si="12"/>
        <v>17521454.423610285</v>
      </c>
      <c r="AI25" s="61">
        <f t="shared" si="16"/>
        <v>123</v>
      </c>
      <c r="AJ25" s="87">
        <f t="shared" si="17"/>
        <v>1072742.1074062502</v>
      </c>
      <c r="AK25" s="88">
        <f t="shared" si="26"/>
        <v>16448712.316204034</v>
      </c>
      <c r="AL25" s="89">
        <f t="shared" si="26"/>
        <v>357580.70246875007</v>
      </c>
      <c r="AM25" s="89">
        <f t="shared" si="26"/>
        <v>357580.70246875007</v>
      </c>
      <c r="AN25" s="89">
        <f t="shared" si="26"/>
        <v>357580.70246875007</v>
      </c>
      <c r="AO25" s="89">
        <f t="shared" si="26"/>
        <v>0</v>
      </c>
      <c r="AP25" s="90">
        <f t="shared" si="9"/>
        <v>17521454.423610281</v>
      </c>
      <c r="AQ25" s="18">
        <f t="shared" si="6"/>
        <v>0</v>
      </c>
      <c r="AR25" s="66">
        <v>5</v>
      </c>
      <c r="AS25" s="208" t="s">
        <v>68</v>
      </c>
      <c r="AT25" s="16"/>
      <c r="AU25" s="16"/>
      <c r="AV25" s="16"/>
      <c r="AW25" s="16"/>
      <c r="AX25" s="16"/>
      <c r="AY25" s="16"/>
      <c r="AZ25" s="16"/>
      <c r="BA25" s="14"/>
    </row>
    <row r="26" spans="1:53" x14ac:dyDescent="0.35">
      <c r="A26" s="13"/>
      <c r="B26" s="215">
        <v>22</v>
      </c>
      <c r="C26" s="48" t="s">
        <v>108</v>
      </c>
      <c r="D26" s="72" t="s">
        <v>109</v>
      </c>
      <c r="E26" s="72" t="s">
        <v>110</v>
      </c>
      <c r="F26" s="73" t="s">
        <v>40</v>
      </c>
      <c r="G26" s="74">
        <v>45384</v>
      </c>
      <c r="H26" s="74">
        <v>47209</v>
      </c>
      <c r="I26" s="74">
        <v>45478</v>
      </c>
      <c r="J26" s="74">
        <v>47274</v>
      </c>
      <c r="K26" s="75">
        <v>8.5500000000000007E-2</v>
      </c>
      <c r="L26" s="73">
        <v>60</v>
      </c>
      <c r="M26" s="73">
        <v>16</v>
      </c>
      <c r="N26" s="48">
        <f t="shared" si="0"/>
        <v>44</v>
      </c>
      <c r="O26" s="76">
        <v>46964.75</v>
      </c>
      <c r="P26" s="76">
        <v>1974000</v>
      </c>
      <c r="Q26" s="76">
        <v>843885</v>
      </c>
      <c r="R26" s="76">
        <f t="shared" si="1"/>
        <v>2817885</v>
      </c>
      <c r="S26" s="77">
        <f t="shared" si="2"/>
        <v>2066449</v>
      </c>
      <c r="T26" s="78">
        <f>+M26*O26</f>
        <v>751436</v>
      </c>
      <c r="U26" s="79">
        <f>+'[1]VIP 1'!L3</f>
        <v>61</v>
      </c>
      <c r="V26" s="76">
        <f>+'[1]VIP 1'!H5</f>
        <v>46964.75</v>
      </c>
      <c r="W26" s="77">
        <f t="shared" si="19"/>
        <v>2019484.25</v>
      </c>
      <c r="X26" s="81">
        <f t="shared" si="21"/>
        <v>2066449</v>
      </c>
      <c r="Y26" s="82">
        <f t="shared" si="7"/>
        <v>46964.75</v>
      </c>
      <c r="Z26" s="83">
        <f>+W26</f>
        <v>2019484.25</v>
      </c>
      <c r="AA26" s="84">
        <f>+'[1]VIP 1'!H5</f>
        <v>46964.75</v>
      </c>
      <c r="AB26" s="84"/>
      <c r="AC26" s="84"/>
      <c r="AD26" s="84"/>
      <c r="AE26" s="85">
        <f t="shared" si="20"/>
        <v>2066449</v>
      </c>
      <c r="AF26" s="18">
        <f t="shared" si="11"/>
        <v>0</v>
      </c>
      <c r="AG26" s="76">
        <f t="shared" si="12"/>
        <v>3015136.95</v>
      </c>
      <c r="AH26" s="86">
        <f t="shared" si="12"/>
        <v>2211100.4300000002</v>
      </c>
      <c r="AI26" s="61">
        <f t="shared" si="16"/>
        <v>61</v>
      </c>
      <c r="AJ26" s="87">
        <f t="shared" si="17"/>
        <v>50252.282500000001</v>
      </c>
      <c r="AK26" s="88">
        <f t="shared" si="26"/>
        <v>2160848.1475</v>
      </c>
      <c r="AL26" s="89">
        <f t="shared" si="26"/>
        <v>50252.282500000001</v>
      </c>
      <c r="AM26" s="89">
        <f t="shared" si="26"/>
        <v>0</v>
      </c>
      <c r="AN26" s="89">
        <f t="shared" si="26"/>
        <v>0</v>
      </c>
      <c r="AO26" s="89">
        <f t="shared" si="26"/>
        <v>0</v>
      </c>
      <c r="AP26" s="90">
        <f t="shared" si="9"/>
        <v>2211100.4300000002</v>
      </c>
      <c r="AQ26" s="18">
        <f t="shared" si="6"/>
        <v>0</v>
      </c>
      <c r="AR26" s="66">
        <v>5</v>
      </c>
      <c r="AS26" s="208" t="s">
        <v>68</v>
      </c>
      <c r="AT26" s="16"/>
      <c r="AU26" s="16"/>
      <c r="AV26" s="16"/>
      <c r="AW26" s="16"/>
      <c r="AX26" s="16"/>
      <c r="AY26" s="16"/>
      <c r="AZ26" s="16"/>
      <c r="BA26" s="14"/>
    </row>
    <row r="27" spans="1:53" x14ac:dyDescent="0.35">
      <c r="A27" s="13"/>
      <c r="B27" s="215">
        <v>23</v>
      </c>
      <c r="C27" s="48" t="s">
        <v>111</v>
      </c>
      <c r="D27" s="72" t="s">
        <v>112</v>
      </c>
      <c r="E27" s="72" t="s">
        <v>113</v>
      </c>
      <c r="F27" s="73" t="s">
        <v>40</v>
      </c>
      <c r="G27" s="74">
        <v>45426</v>
      </c>
      <c r="H27" s="74">
        <v>47251</v>
      </c>
      <c r="I27" s="74">
        <v>45478</v>
      </c>
      <c r="J27" s="74">
        <v>47274</v>
      </c>
      <c r="K27" s="75">
        <v>8.5500000000000007E-2</v>
      </c>
      <c r="L27" s="73">
        <v>60</v>
      </c>
      <c r="M27" s="73">
        <v>15</v>
      </c>
      <c r="N27" s="48">
        <f t="shared" si="0"/>
        <v>45</v>
      </c>
      <c r="O27" s="76">
        <v>295778</v>
      </c>
      <c r="P27" s="76">
        <v>12432000</v>
      </c>
      <c r="Q27" s="76">
        <v>5314680</v>
      </c>
      <c r="R27" s="76">
        <f t="shared" si="1"/>
        <v>17746680</v>
      </c>
      <c r="S27" s="77">
        <f t="shared" si="2"/>
        <v>13310010</v>
      </c>
      <c r="T27" s="78">
        <f>+M27*O27</f>
        <v>4436670</v>
      </c>
      <c r="U27" s="79"/>
      <c r="V27" s="76"/>
      <c r="W27" s="77">
        <f t="shared" si="19"/>
        <v>13310010</v>
      </c>
      <c r="X27" s="81">
        <f t="shared" si="21"/>
        <v>13310010</v>
      </c>
      <c r="Y27" s="82">
        <f t="shared" si="7"/>
        <v>0</v>
      </c>
      <c r="Z27" s="83">
        <f>+S27</f>
        <v>13310010</v>
      </c>
      <c r="AA27" s="84"/>
      <c r="AB27" s="84"/>
      <c r="AC27" s="84"/>
      <c r="AD27" s="84"/>
      <c r="AE27" s="85">
        <f t="shared" si="20"/>
        <v>13310010</v>
      </c>
      <c r="AF27" s="18">
        <f t="shared" si="11"/>
        <v>0</v>
      </c>
      <c r="AG27" s="76">
        <f t="shared" si="12"/>
        <v>18988947.600000001</v>
      </c>
      <c r="AH27" s="86">
        <f t="shared" si="12"/>
        <v>14241710.700000001</v>
      </c>
      <c r="AI27" s="61">
        <f t="shared" si="16"/>
        <v>0</v>
      </c>
      <c r="AJ27" s="87">
        <f t="shared" si="17"/>
        <v>0</v>
      </c>
      <c r="AK27" s="88">
        <f t="shared" si="26"/>
        <v>14241710.700000001</v>
      </c>
      <c r="AL27" s="89">
        <f t="shared" si="26"/>
        <v>0</v>
      </c>
      <c r="AM27" s="89">
        <f t="shared" si="26"/>
        <v>0</v>
      </c>
      <c r="AN27" s="89">
        <f t="shared" si="26"/>
        <v>0</v>
      </c>
      <c r="AO27" s="89">
        <f t="shared" si="26"/>
        <v>0</v>
      </c>
      <c r="AP27" s="90">
        <f t="shared" si="9"/>
        <v>14241710.700000001</v>
      </c>
      <c r="AQ27" s="18">
        <f t="shared" si="6"/>
        <v>0</v>
      </c>
      <c r="AR27" s="66">
        <v>5</v>
      </c>
      <c r="AS27" s="208" t="s">
        <v>41</v>
      </c>
      <c r="AT27" s="16"/>
      <c r="AU27" s="16"/>
      <c r="AV27" s="16"/>
      <c r="AW27" s="16"/>
      <c r="AX27" s="16"/>
      <c r="AY27" s="16"/>
      <c r="AZ27" s="16"/>
      <c r="BA27" s="14"/>
    </row>
    <row r="28" spans="1:53" x14ac:dyDescent="0.35">
      <c r="A28" s="13"/>
      <c r="B28" s="215">
        <v>24</v>
      </c>
      <c r="C28" s="48" t="s">
        <v>114</v>
      </c>
      <c r="D28" s="72" t="s">
        <v>115</v>
      </c>
      <c r="E28" s="72" t="s">
        <v>116</v>
      </c>
      <c r="F28" s="73" t="s">
        <v>40</v>
      </c>
      <c r="G28" s="74">
        <v>45415</v>
      </c>
      <c r="H28" s="74">
        <v>47059</v>
      </c>
      <c r="I28" s="74">
        <v>45417</v>
      </c>
      <c r="J28" s="74">
        <v>47062</v>
      </c>
      <c r="K28" s="75">
        <v>0.15</v>
      </c>
      <c r="L28" s="73">
        <v>55</v>
      </c>
      <c r="M28" s="73">
        <v>16</v>
      </c>
      <c r="N28" s="48">
        <f t="shared" si="0"/>
        <v>39</v>
      </c>
      <c r="O28" s="76">
        <v>39292.638027134402</v>
      </c>
      <c r="P28" s="76">
        <f>+[1]เพอร์เฟค!F3</f>
        <v>1556054.7397230954</v>
      </c>
      <c r="Q28" s="76">
        <f>+[1]เพอร์เฟค!G63</f>
        <v>605040.35176929669</v>
      </c>
      <c r="R28" s="76">
        <f t="shared" si="1"/>
        <v>2161095.0914923921</v>
      </c>
      <c r="S28" s="77">
        <f t="shared" si="2"/>
        <v>1532412.8830582416</v>
      </c>
      <c r="T28" s="78">
        <f>+M28*O28</f>
        <v>628682.20843415044</v>
      </c>
      <c r="U28" s="79">
        <f>+[1]เพอร์เฟค!N4</f>
        <v>61</v>
      </c>
      <c r="V28" s="76">
        <f>+[1]เพอร์เฟค!H5</f>
        <v>39292.638027134402</v>
      </c>
      <c r="W28" s="77">
        <f>S28-V28</f>
        <v>1493120.2450311072</v>
      </c>
      <c r="X28" s="81">
        <f t="shared" si="21"/>
        <v>1532412.8830582418</v>
      </c>
      <c r="Y28" s="82">
        <f t="shared" si="7"/>
        <v>39292.638027134635</v>
      </c>
      <c r="Z28" s="83">
        <f>+W28</f>
        <v>1493120.2450311072</v>
      </c>
      <c r="AA28" s="84">
        <f>+V28</f>
        <v>39292.638027134402</v>
      </c>
      <c r="AB28" s="84"/>
      <c r="AC28" s="84"/>
      <c r="AD28" s="84"/>
      <c r="AE28" s="85">
        <f t="shared" si="20"/>
        <v>1532412.8830582416</v>
      </c>
      <c r="AF28" s="18">
        <f t="shared" si="11"/>
        <v>0</v>
      </c>
      <c r="AG28" s="76">
        <f t="shared" si="12"/>
        <v>2312371.7478968599</v>
      </c>
      <c r="AH28" s="86">
        <f t="shared" si="12"/>
        <v>1639681.7848723186</v>
      </c>
      <c r="AI28" s="61">
        <f t="shared" si="16"/>
        <v>61</v>
      </c>
      <c r="AJ28" s="87">
        <f t="shared" si="17"/>
        <v>42043.122689033815</v>
      </c>
      <c r="AK28" s="88">
        <f t="shared" si="26"/>
        <v>1597638.6621832848</v>
      </c>
      <c r="AL28" s="89">
        <f t="shared" si="26"/>
        <v>42043.122689033815</v>
      </c>
      <c r="AM28" s="89">
        <f t="shared" si="26"/>
        <v>0</v>
      </c>
      <c r="AN28" s="89">
        <f t="shared" si="26"/>
        <v>0</v>
      </c>
      <c r="AO28" s="89">
        <f t="shared" si="26"/>
        <v>0</v>
      </c>
      <c r="AP28" s="90">
        <f t="shared" si="9"/>
        <v>1639681.7848723186</v>
      </c>
      <c r="AQ28" s="18">
        <f t="shared" si="6"/>
        <v>0</v>
      </c>
      <c r="AR28" s="66">
        <v>5</v>
      </c>
      <c r="AS28" s="208" t="s">
        <v>68</v>
      </c>
      <c r="AT28" s="16"/>
      <c r="AU28" s="16"/>
      <c r="AV28" s="16"/>
      <c r="AW28" s="16"/>
      <c r="AX28" s="16"/>
      <c r="AY28" s="16"/>
      <c r="AZ28" s="16"/>
      <c r="BA28" s="14"/>
    </row>
    <row r="29" spans="1:53" x14ac:dyDescent="0.35">
      <c r="A29" s="13"/>
      <c r="B29" s="215">
        <v>25</v>
      </c>
      <c r="C29" s="48" t="s">
        <v>117</v>
      </c>
      <c r="D29" s="72" t="s">
        <v>118</v>
      </c>
      <c r="E29" s="72" t="s">
        <v>119</v>
      </c>
      <c r="F29" s="73" t="s">
        <v>40</v>
      </c>
      <c r="G29" s="74">
        <v>45441</v>
      </c>
      <c r="H29" s="74">
        <v>46901</v>
      </c>
      <c r="I29" s="74">
        <v>45458</v>
      </c>
      <c r="J29" s="74">
        <v>46888</v>
      </c>
      <c r="K29" s="75">
        <v>8.3969000000000002E-2</v>
      </c>
      <c r="L29" s="73">
        <v>48</v>
      </c>
      <c r="M29" s="73">
        <v>8</v>
      </c>
      <c r="N29" s="48">
        <f t="shared" si="0"/>
        <v>40</v>
      </c>
      <c r="O29" s="76">
        <v>146361.66432986499</v>
      </c>
      <c r="P29" s="76">
        <v>5258991.0199999977</v>
      </c>
      <c r="Q29" s="76">
        <v>1766368.8678335184</v>
      </c>
      <c r="R29" s="76">
        <f t="shared" si="1"/>
        <v>7025359.8878335161</v>
      </c>
      <c r="S29" s="77">
        <f t="shared" si="2"/>
        <v>5728823.5596976867</v>
      </c>
      <c r="T29" s="78">
        <f>+(M29*O29)+[1]BCMA!V16</f>
        <v>1296536.3281358294</v>
      </c>
      <c r="U29" s="79">
        <f>+[1]BCMA!Q2</f>
        <v>263</v>
      </c>
      <c r="V29" s="76">
        <f>+'[1]สำราญทรัพย์ 1'!C18+'[1]สำราญทรัพย์ 1'!C17+'[1]สำราญทรัพย์ 1'!S16</f>
        <v>1757902.2</v>
      </c>
      <c r="W29" s="77">
        <f>S29-V29</f>
        <v>3970921.3596976865</v>
      </c>
      <c r="X29" s="81">
        <f t="shared" si="21"/>
        <v>5854466.5731945997</v>
      </c>
      <c r="Y29" s="82">
        <f t="shared" si="7"/>
        <v>1883545.213496913</v>
      </c>
      <c r="Z29" s="83">
        <f>SUM([1]BCMA!C20:C55)</f>
        <v>5269019.9158751396</v>
      </c>
      <c r="AA29" s="84">
        <f>+[1]BCMA!C19</f>
        <v>146361.66432986499</v>
      </c>
      <c r="AB29" s="84">
        <f>+[1]BCMA!C18</f>
        <v>146361.66432986499</v>
      </c>
      <c r="AC29" s="84">
        <f>+[1]BCMA!C17</f>
        <v>146361.66432986499</v>
      </c>
      <c r="AD29" s="84">
        <f>+[1]BCMA!S16</f>
        <v>20718.650832955533</v>
      </c>
      <c r="AE29" s="85">
        <f>SUM(Z29:AD29)</f>
        <v>5728823.5596976904</v>
      </c>
      <c r="AF29" s="18">
        <f t="shared" si="11"/>
        <v>0</v>
      </c>
      <c r="AG29" s="76">
        <f t="shared" si="12"/>
        <v>7517135.0799818626</v>
      </c>
      <c r="AH29" s="86">
        <f t="shared" si="12"/>
        <v>6129841.2088765251</v>
      </c>
      <c r="AI29" s="61">
        <f t="shared" si="16"/>
        <v>263</v>
      </c>
      <c r="AJ29" s="87">
        <f t="shared" si="17"/>
        <v>1880955.3540000001</v>
      </c>
      <c r="AK29" s="88">
        <f t="shared" si="26"/>
        <v>5637851.3099863995</v>
      </c>
      <c r="AL29" s="89">
        <f t="shared" si="26"/>
        <v>156606.98083295554</v>
      </c>
      <c r="AM29" s="89">
        <f t="shared" si="26"/>
        <v>156606.98083295554</v>
      </c>
      <c r="AN29" s="89">
        <f t="shared" si="26"/>
        <v>156606.98083295554</v>
      </c>
      <c r="AO29" s="89">
        <f t="shared" si="26"/>
        <v>22168.956391262422</v>
      </c>
      <c r="AP29" s="90">
        <f t="shared" si="9"/>
        <v>6129841.2088765297</v>
      </c>
      <c r="AQ29" s="18">
        <f t="shared" si="6"/>
        <v>0</v>
      </c>
      <c r="AR29" s="66">
        <v>15</v>
      </c>
      <c r="AS29" s="208" t="s">
        <v>68</v>
      </c>
      <c r="AT29" s="16"/>
      <c r="AU29" s="16"/>
      <c r="AV29" s="16"/>
      <c r="AW29" s="16"/>
      <c r="AX29" s="16"/>
      <c r="AY29" s="16"/>
      <c r="AZ29" s="16"/>
      <c r="BA29" s="14"/>
    </row>
    <row r="30" spans="1:53" x14ac:dyDescent="0.35">
      <c r="A30" s="13"/>
      <c r="B30" s="215">
        <v>26</v>
      </c>
      <c r="C30" s="48" t="s">
        <v>120</v>
      </c>
      <c r="D30" s="72" t="s">
        <v>121</v>
      </c>
      <c r="E30" s="72" t="s">
        <v>122</v>
      </c>
      <c r="F30" s="73" t="s">
        <v>40</v>
      </c>
      <c r="G30" s="74">
        <v>45485</v>
      </c>
      <c r="H30" s="74">
        <v>46945</v>
      </c>
      <c r="I30" s="74">
        <v>45601</v>
      </c>
      <c r="J30" s="74">
        <v>47031</v>
      </c>
      <c r="K30" s="75">
        <v>8.2500000000000004E-2</v>
      </c>
      <c r="L30" s="73">
        <v>48</v>
      </c>
      <c r="M30" s="73">
        <v>8</v>
      </c>
      <c r="N30" s="48">
        <f t="shared" si="0"/>
        <v>40</v>
      </c>
      <c r="O30" s="76">
        <v>672448</v>
      </c>
      <c r="P30" s="76">
        <v>24268800</v>
      </c>
      <c r="Q30" s="76">
        <v>8008704</v>
      </c>
      <c r="R30" s="76">
        <f t="shared" si="1"/>
        <v>32277504</v>
      </c>
      <c r="S30" s="77">
        <f t="shared" si="2"/>
        <v>26897920</v>
      </c>
      <c r="T30" s="78">
        <f>+M30*O30</f>
        <v>5379584</v>
      </c>
      <c r="U30" s="79">
        <v>89</v>
      </c>
      <c r="V30" s="76">
        <f>+'[1]สำราญทรัพย์ 1'!S16+'[1]สำราญทรัพย์ 1'!S17+'[1]สำราญทรัพย์ 1'!S18</f>
        <v>1852044.92</v>
      </c>
      <c r="W30" s="77">
        <f t="shared" ref="W30:W53" si="27">S30-V30</f>
        <v>25045875.079999998</v>
      </c>
      <c r="X30" s="81">
        <f t="shared" si="21"/>
        <v>26897920</v>
      </c>
      <c r="Y30" s="82">
        <f t="shared" si="7"/>
        <v>1852044.92</v>
      </c>
      <c r="Z30" s="83">
        <f>+W30</f>
        <v>25045875.079999998</v>
      </c>
      <c r="AA30" s="84">
        <f>+'[1]สำราญทรัพย์ 1'!S18</f>
        <v>719519.36</v>
      </c>
      <c r="AB30" s="84">
        <f>+'[1]สำราญทรัพย์ 1'!S17</f>
        <v>719519.36</v>
      </c>
      <c r="AC30" s="84">
        <f>+'[1]สำราญทรัพย์ 1'!S16</f>
        <v>413006.2</v>
      </c>
      <c r="AD30" s="84"/>
      <c r="AE30" s="85">
        <f t="shared" si="20"/>
        <v>26897919.999999996</v>
      </c>
      <c r="AF30" s="18">
        <f t="shared" si="11"/>
        <v>0</v>
      </c>
      <c r="AG30" s="76">
        <f t="shared" si="12"/>
        <v>34536929.280000001</v>
      </c>
      <c r="AH30" s="86">
        <f t="shared" si="12"/>
        <v>28780774.400000002</v>
      </c>
      <c r="AI30" s="61">
        <f t="shared" si="16"/>
        <v>89</v>
      </c>
      <c r="AJ30" s="87">
        <f t="shared" si="17"/>
        <v>1981688.0644</v>
      </c>
      <c r="AK30" s="88">
        <f t="shared" si="26"/>
        <v>26799086.3356</v>
      </c>
      <c r="AL30" s="89">
        <f t="shared" si="26"/>
        <v>769885.71519999998</v>
      </c>
      <c r="AM30" s="89">
        <f t="shared" si="26"/>
        <v>769885.71519999998</v>
      </c>
      <c r="AN30" s="89">
        <f t="shared" si="26"/>
        <v>441916.63400000002</v>
      </c>
      <c r="AO30" s="89">
        <f t="shared" si="26"/>
        <v>0</v>
      </c>
      <c r="AP30" s="90">
        <f t="shared" si="9"/>
        <v>28780774.399999999</v>
      </c>
      <c r="AQ30" s="18">
        <f t="shared" si="6"/>
        <v>0</v>
      </c>
      <c r="AR30" s="66">
        <v>5</v>
      </c>
      <c r="AS30" s="208" t="s">
        <v>68</v>
      </c>
      <c r="AT30" s="16"/>
      <c r="AU30" s="16"/>
      <c r="AV30" s="16"/>
      <c r="AW30" s="16"/>
      <c r="AX30" s="16"/>
      <c r="AY30" s="16"/>
      <c r="AZ30" s="16"/>
      <c r="BA30" s="14"/>
    </row>
    <row r="31" spans="1:53" x14ac:dyDescent="0.35">
      <c r="A31" s="13"/>
      <c r="B31" s="215">
        <v>27</v>
      </c>
      <c r="C31" s="48" t="s">
        <v>123</v>
      </c>
      <c r="D31" s="72" t="s">
        <v>121</v>
      </c>
      <c r="E31" s="72" t="s">
        <v>124</v>
      </c>
      <c r="F31" s="73" t="s">
        <v>40</v>
      </c>
      <c r="G31" s="74">
        <v>45485</v>
      </c>
      <c r="H31" s="74">
        <v>46945</v>
      </c>
      <c r="I31" s="74"/>
      <c r="J31" s="74"/>
      <c r="K31" s="75">
        <v>8.2500000000000004E-2</v>
      </c>
      <c r="L31" s="73">
        <v>48</v>
      </c>
      <c r="M31" s="73">
        <v>0</v>
      </c>
      <c r="N31" s="48">
        <f t="shared" si="0"/>
        <v>48</v>
      </c>
      <c r="O31" s="76">
        <v>254362.5</v>
      </c>
      <c r="P31" s="76">
        <v>9180000</v>
      </c>
      <c r="Q31" s="76">
        <v>3029400</v>
      </c>
      <c r="R31" s="76">
        <f t="shared" si="1"/>
        <v>12209400</v>
      </c>
      <c r="S31" s="77">
        <f t="shared" si="2"/>
        <v>12209400</v>
      </c>
      <c r="T31" s="78">
        <v>0</v>
      </c>
      <c r="U31" s="79"/>
      <c r="V31" s="76"/>
      <c r="W31" s="77">
        <f t="shared" si="27"/>
        <v>12209400</v>
      </c>
      <c r="X31" s="81">
        <f t="shared" si="21"/>
        <v>12209400</v>
      </c>
      <c r="Y31" s="82">
        <f>+X31-S31+V31</f>
        <v>0</v>
      </c>
      <c r="Z31" s="83">
        <f t="shared" ref="Z31:Z33" si="28">+W31</f>
        <v>12209400</v>
      </c>
      <c r="AA31" s="84"/>
      <c r="AB31" s="84"/>
      <c r="AC31" s="84"/>
      <c r="AD31" s="84"/>
      <c r="AE31" s="85">
        <f t="shared" si="20"/>
        <v>12209400</v>
      </c>
      <c r="AF31" s="18">
        <f t="shared" si="11"/>
        <v>0</v>
      </c>
      <c r="AG31" s="76">
        <f t="shared" si="12"/>
        <v>13064058</v>
      </c>
      <c r="AH31" s="86">
        <f t="shared" si="12"/>
        <v>13064058</v>
      </c>
      <c r="AI31" s="61">
        <f t="shared" si="16"/>
        <v>0</v>
      </c>
      <c r="AJ31" s="87">
        <f t="shared" si="17"/>
        <v>0</v>
      </c>
      <c r="AK31" s="88">
        <f t="shared" si="26"/>
        <v>13064058</v>
      </c>
      <c r="AL31" s="89">
        <f t="shared" si="26"/>
        <v>0</v>
      </c>
      <c r="AM31" s="89">
        <f t="shared" si="26"/>
        <v>0</v>
      </c>
      <c r="AN31" s="89">
        <f t="shared" si="26"/>
        <v>0</v>
      </c>
      <c r="AO31" s="89">
        <f t="shared" si="26"/>
        <v>0</v>
      </c>
      <c r="AP31" s="90">
        <f t="shared" si="9"/>
        <v>13064058</v>
      </c>
      <c r="AQ31" s="18">
        <f t="shared" si="6"/>
        <v>0</v>
      </c>
      <c r="AR31" s="66">
        <v>5</v>
      </c>
      <c r="AS31" s="208" t="s">
        <v>41</v>
      </c>
      <c r="AT31" s="16"/>
      <c r="AU31" s="16"/>
      <c r="AV31" s="16"/>
      <c r="AW31" s="16"/>
      <c r="AX31" s="16"/>
      <c r="AY31" s="16"/>
      <c r="AZ31" s="16"/>
      <c r="BA31" s="14"/>
    </row>
    <row r="32" spans="1:53" x14ac:dyDescent="0.35">
      <c r="A32" s="13"/>
      <c r="B32" s="215">
        <v>28</v>
      </c>
      <c r="C32" s="48" t="s">
        <v>125</v>
      </c>
      <c r="D32" s="72" t="s">
        <v>126</v>
      </c>
      <c r="E32" s="72" t="s">
        <v>127</v>
      </c>
      <c r="F32" s="73" t="s">
        <v>40</v>
      </c>
      <c r="G32" s="74">
        <v>45492</v>
      </c>
      <c r="H32" s="74">
        <v>46586</v>
      </c>
      <c r="I32" s="74">
        <v>45540</v>
      </c>
      <c r="J32" s="74">
        <v>46604</v>
      </c>
      <c r="K32" s="75">
        <v>8.2699999999999996E-2</v>
      </c>
      <c r="L32" s="73">
        <v>36</v>
      </c>
      <c r="M32" s="73">
        <v>13</v>
      </c>
      <c r="N32" s="48">
        <f t="shared" si="0"/>
        <v>23</v>
      </c>
      <c r="O32" s="76">
        <v>38672.031805555554</v>
      </c>
      <c r="P32" s="76">
        <v>1115450.0000000007</v>
      </c>
      <c r="Q32" s="76">
        <v>276743.14499999979</v>
      </c>
      <c r="R32" s="76">
        <f t="shared" si="1"/>
        <v>1392193.1450000005</v>
      </c>
      <c r="S32" s="77">
        <f t="shared" si="2"/>
        <v>889456.73152777832</v>
      </c>
      <c r="T32" s="78">
        <f>+M32*O32</f>
        <v>502736.41347222222</v>
      </c>
      <c r="U32" s="79"/>
      <c r="V32" s="76"/>
      <c r="W32" s="77">
        <f t="shared" si="27"/>
        <v>889456.73152777832</v>
      </c>
      <c r="X32" s="81">
        <f t="shared" si="21"/>
        <v>889456.73152777774</v>
      </c>
      <c r="Y32" s="82">
        <f t="shared" si="7"/>
        <v>-5.8207660913467407E-10</v>
      </c>
      <c r="Z32" s="83">
        <f t="shared" si="28"/>
        <v>889456.73152777832</v>
      </c>
      <c r="AA32" s="84"/>
      <c r="AB32" s="84"/>
      <c r="AC32" s="84"/>
      <c r="AD32" s="84"/>
      <c r="AE32" s="85">
        <f t="shared" si="20"/>
        <v>889456.73152777832</v>
      </c>
      <c r="AF32" s="18">
        <f t="shared" si="11"/>
        <v>0</v>
      </c>
      <c r="AG32" s="76">
        <f t="shared" si="12"/>
        <v>1489646.6651500007</v>
      </c>
      <c r="AH32" s="86">
        <f t="shared" si="12"/>
        <v>951718.70273472287</v>
      </c>
      <c r="AI32" s="61">
        <f t="shared" si="16"/>
        <v>0</v>
      </c>
      <c r="AJ32" s="87">
        <f t="shared" si="17"/>
        <v>0</v>
      </c>
      <c r="AK32" s="88">
        <f t="shared" si="26"/>
        <v>951718.70273472287</v>
      </c>
      <c r="AL32" s="89">
        <f t="shared" si="26"/>
        <v>0</v>
      </c>
      <c r="AM32" s="89">
        <f t="shared" si="26"/>
        <v>0</v>
      </c>
      <c r="AN32" s="89">
        <f t="shared" si="26"/>
        <v>0</v>
      </c>
      <c r="AO32" s="89">
        <f t="shared" si="26"/>
        <v>0</v>
      </c>
      <c r="AP32" s="90">
        <f t="shared" si="9"/>
        <v>951718.70273472287</v>
      </c>
      <c r="AQ32" s="18">
        <f t="shared" si="6"/>
        <v>0</v>
      </c>
      <c r="AR32" s="66">
        <v>5</v>
      </c>
      <c r="AS32" s="208" t="s">
        <v>41</v>
      </c>
      <c r="AT32" s="16"/>
      <c r="AU32" s="16"/>
      <c r="AV32" s="16"/>
      <c r="AW32" s="16"/>
      <c r="AX32" s="16"/>
      <c r="AY32" s="16"/>
      <c r="AZ32" s="16"/>
      <c r="BA32" s="14"/>
    </row>
    <row r="33" spans="1:53" x14ac:dyDescent="0.35">
      <c r="A33" s="13"/>
      <c r="B33" s="215">
        <v>29</v>
      </c>
      <c r="C33" s="48" t="s">
        <v>128</v>
      </c>
      <c r="D33" s="72" t="s">
        <v>129</v>
      </c>
      <c r="E33" s="72" t="s">
        <v>130</v>
      </c>
      <c r="F33" s="73" t="s">
        <v>40</v>
      </c>
      <c r="G33" s="74">
        <v>45534</v>
      </c>
      <c r="H33" s="74">
        <v>47359</v>
      </c>
      <c r="I33" s="74">
        <v>45580</v>
      </c>
      <c r="J33" s="74">
        <v>47376</v>
      </c>
      <c r="K33" s="75">
        <v>8.5500000000000007E-2</v>
      </c>
      <c r="L33" s="73">
        <v>60</v>
      </c>
      <c r="M33" s="73">
        <v>2</v>
      </c>
      <c r="N33" s="48">
        <f>+L33-M33</f>
        <v>58</v>
      </c>
      <c r="O33" s="76">
        <v>64351.7</v>
      </c>
      <c r="P33" s="76">
        <v>2704800</v>
      </c>
      <c r="Q33" s="76">
        <v>1156301.9999999988</v>
      </c>
      <c r="R33" s="76">
        <f t="shared" si="1"/>
        <v>3861101.9999999991</v>
      </c>
      <c r="S33" s="77">
        <f t="shared" si="2"/>
        <v>3732398.5999999992</v>
      </c>
      <c r="T33" s="78">
        <f>+M33*O33</f>
        <v>128703.4</v>
      </c>
      <c r="U33" s="79">
        <f>+'[1]ออเร้นท์ 1'!X12</f>
        <v>325</v>
      </c>
      <c r="V33" s="76">
        <f>+O33*10</f>
        <v>643517</v>
      </c>
      <c r="W33" s="77">
        <f t="shared" si="27"/>
        <v>3088881.5999999992</v>
      </c>
      <c r="X33" s="81">
        <f t="shared" si="21"/>
        <v>3732398.5999999996</v>
      </c>
      <c r="Y33" s="82">
        <f t="shared" si="7"/>
        <v>643517.00000000047</v>
      </c>
      <c r="Z33" s="83">
        <f t="shared" si="28"/>
        <v>3088881.5999999992</v>
      </c>
      <c r="AA33" s="84">
        <f>+'[1]ออเร้นท์ 1'!C15</f>
        <v>64351.7</v>
      </c>
      <c r="AB33" s="84">
        <f>+'[1]ออเร้นท์ 1'!C14</f>
        <v>64351.7</v>
      </c>
      <c r="AC33" s="84">
        <f>+'[1]ออเร้นท์ 1'!C13</f>
        <v>64351.7</v>
      </c>
      <c r="AD33" s="84">
        <f>+O33*7</f>
        <v>450461.89999999997</v>
      </c>
      <c r="AE33" s="85">
        <f t="shared" si="20"/>
        <v>3732398.5999999996</v>
      </c>
      <c r="AF33" s="18">
        <f t="shared" si="11"/>
        <v>0</v>
      </c>
      <c r="AG33" s="76">
        <f t="shared" si="12"/>
        <v>4131379.1399999992</v>
      </c>
      <c r="AH33" s="86">
        <f t="shared" si="12"/>
        <v>3993666.5019999994</v>
      </c>
      <c r="AI33" s="61">
        <f t="shared" si="16"/>
        <v>325</v>
      </c>
      <c r="AJ33" s="87">
        <f t="shared" si="17"/>
        <v>688563.19000000006</v>
      </c>
      <c r="AK33" s="88">
        <f t="shared" si="26"/>
        <v>3305103.3119999995</v>
      </c>
      <c r="AL33" s="89">
        <f t="shared" si="26"/>
        <v>68856.319000000003</v>
      </c>
      <c r="AM33" s="89">
        <f t="shared" si="26"/>
        <v>68856.319000000003</v>
      </c>
      <c r="AN33" s="89">
        <f t="shared" si="26"/>
        <v>68856.319000000003</v>
      </c>
      <c r="AO33" s="89">
        <f t="shared" si="26"/>
        <v>481994.23300000001</v>
      </c>
      <c r="AP33" s="90">
        <f t="shared" si="9"/>
        <v>3993666.5019999999</v>
      </c>
      <c r="AQ33" s="18">
        <f t="shared" si="6"/>
        <v>0</v>
      </c>
      <c r="AR33" s="66">
        <v>15</v>
      </c>
      <c r="AS33" s="208"/>
      <c r="AT33" s="16"/>
      <c r="AU33" s="16"/>
      <c r="AV33" s="16"/>
      <c r="AW33" s="16"/>
      <c r="AX33" s="16"/>
      <c r="AY33" s="16"/>
      <c r="AZ33" s="16"/>
      <c r="BA33" s="14"/>
    </row>
    <row r="34" spans="1:53" x14ac:dyDescent="0.35">
      <c r="A34" s="13"/>
      <c r="B34" s="215">
        <v>30</v>
      </c>
      <c r="C34" s="48" t="s">
        <v>131</v>
      </c>
      <c r="D34" s="72" t="s">
        <v>132</v>
      </c>
      <c r="E34" s="111" t="s">
        <v>133</v>
      </c>
      <c r="F34" s="73" t="s">
        <v>40</v>
      </c>
      <c r="G34" s="74">
        <v>45586</v>
      </c>
      <c r="H34" s="74">
        <v>46680</v>
      </c>
      <c r="I34" s="74">
        <v>45621</v>
      </c>
      <c r="J34" s="74">
        <v>46685</v>
      </c>
      <c r="K34" s="75">
        <v>8.2650000000000001E-2</v>
      </c>
      <c r="L34" s="73">
        <v>36</v>
      </c>
      <c r="M34" s="73">
        <v>11</v>
      </c>
      <c r="N34" s="48">
        <f>COUNT([1]TRT!C15:C43)</f>
        <v>29</v>
      </c>
      <c r="O34" s="76">
        <v>27704.49</v>
      </c>
      <c r="P34" s="76">
        <v>799200</v>
      </c>
      <c r="Q34" s="76">
        <v>198161.64</v>
      </c>
      <c r="R34" s="76">
        <f t="shared" si="1"/>
        <v>997361.64</v>
      </c>
      <c r="S34" s="77">
        <f t="shared" si="2"/>
        <v>692612.25</v>
      </c>
      <c r="T34" s="78">
        <f>+M34*O34</f>
        <v>304749.39</v>
      </c>
      <c r="U34" s="79"/>
      <c r="V34" s="76"/>
      <c r="W34" s="77">
        <f t="shared" si="27"/>
        <v>692612.25</v>
      </c>
      <c r="X34" s="81">
        <f t="shared" si="21"/>
        <v>803430.21000000008</v>
      </c>
      <c r="Y34" s="82">
        <f t="shared" si="7"/>
        <v>110817.96000000008</v>
      </c>
      <c r="Z34" s="83">
        <f>+W34</f>
        <v>692612.25</v>
      </c>
      <c r="AA34" s="84"/>
      <c r="AB34" s="84"/>
      <c r="AC34" s="84"/>
      <c r="AD34" s="84"/>
      <c r="AE34" s="85">
        <f t="shared" si="20"/>
        <v>692612.25</v>
      </c>
      <c r="AF34" s="18">
        <f t="shared" si="11"/>
        <v>0</v>
      </c>
      <c r="AG34" s="76">
        <f t="shared" si="12"/>
        <v>1067176.9548000002</v>
      </c>
      <c r="AH34" s="86">
        <f t="shared" si="12"/>
        <v>741095.10750000004</v>
      </c>
      <c r="AI34" s="61">
        <f t="shared" si="16"/>
        <v>0</v>
      </c>
      <c r="AJ34" s="87">
        <f t="shared" si="17"/>
        <v>0</v>
      </c>
      <c r="AK34" s="88">
        <f t="shared" si="26"/>
        <v>741095.10750000004</v>
      </c>
      <c r="AL34" s="89">
        <f t="shared" si="26"/>
        <v>0</v>
      </c>
      <c r="AM34" s="89">
        <f t="shared" si="26"/>
        <v>0</v>
      </c>
      <c r="AN34" s="89">
        <f t="shared" si="26"/>
        <v>0</v>
      </c>
      <c r="AO34" s="89">
        <f t="shared" si="26"/>
        <v>0</v>
      </c>
      <c r="AP34" s="90">
        <f t="shared" si="9"/>
        <v>741095.10750000004</v>
      </c>
      <c r="AQ34" s="18">
        <f t="shared" si="6"/>
        <v>0</v>
      </c>
      <c r="AR34" s="66">
        <v>25</v>
      </c>
      <c r="AS34" s="208" t="s">
        <v>41</v>
      </c>
      <c r="AT34" s="16"/>
      <c r="AU34" s="16"/>
      <c r="AV34" s="16"/>
      <c r="AW34" s="16"/>
      <c r="AX34" s="16"/>
      <c r="AY34" s="16"/>
      <c r="AZ34" s="16"/>
      <c r="BA34" s="14"/>
    </row>
    <row r="35" spans="1:53" x14ac:dyDescent="0.35">
      <c r="A35" s="13"/>
      <c r="B35" s="215">
        <v>31</v>
      </c>
      <c r="C35" s="48" t="s">
        <v>134</v>
      </c>
      <c r="D35" s="72" t="s">
        <v>135</v>
      </c>
      <c r="E35" s="111"/>
      <c r="F35" s="73" t="s">
        <v>40</v>
      </c>
      <c r="G35" s="74">
        <v>45689</v>
      </c>
      <c r="H35" s="74">
        <v>47119</v>
      </c>
      <c r="I35" s="74">
        <v>45713</v>
      </c>
      <c r="J35" s="74">
        <v>47143</v>
      </c>
      <c r="K35" s="75">
        <v>9.2499999999999999E-2</v>
      </c>
      <c r="L35" s="73">
        <v>48</v>
      </c>
      <c r="M35" s="73">
        <v>8</v>
      </c>
      <c r="N35" s="48">
        <f>+COUNT('[1]นันทวรรณ 1'!C12:C55)</f>
        <v>44</v>
      </c>
      <c r="O35" s="76">
        <v>161141.96875</v>
      </c>
      <c r="P35" s="76">
        <v>5645850</v>
      </c>
      <c r="Q35" s="76">
        <v>2088964.5</v>
      </c>
      <c r="R35" s="76">
        <f t="shared" si="1"/>
        <v>7734814.5</v>
      </c>
      <c r="S35" s="77">
        <f t="shared" si="2"/>
        <v>6445678.75</v>
      </c>
      <c r="T35" s="78">
        <f>+M35*O35</f>
        <v>1289135.75</v>
      </c>
      <c r="U35" s="79"/>
      <c r="V35" s="76"/>
      <c r="W35" s="77">
        <f t="shared" si="27"/>
        <v>6445678.75</v>
      </c>
      <c r="X35" s="81">
        <f t="shared" si="21"/>
        <v>7090246.625</v>
      </c>
      <c r="Y35" s="82">
        <f t="shared" si="7"/>
        <v>644567.875</v>
      </c>
      <c r="Z35" s="83">
        <f t="shared" ref="Z35:Z38" si="29">+W35</f>
        <v>6445678.75</v>
      </c>
      <c r="AA35" s="84"/>
      <c r="AB35" s="84"/>
      <c r="AC35" s="84"/>
      <c r="AD35" s="84"/>
      <c r="AE35" s="85">
        <f t="shared" si="20"/>
        <v>6445678.75</v>
      </c>
      <c r="AF35" s="18">
        <f t="shared" si="11"/>
        <v>0</v>
      </c>
      <c r="AG35" s="76">
        <f t="shared" si="12"/>
        <v>8276251.5150000006</v>
      </c>
      <c r="AH35" s="86">
        <f t="shared" si="12"/>
        <v>6896876.2625000002</v>
      </c>
      <c r="AI35" s="61">
        <f t="shared" si="16"/>
        <v>0</v>
      </c>
      <c r="AJ35" s="87">
        <f t="shared" si="17"/>
        <v>0</v>
      </c>
      <c r="AK35" s="88">
        <f t="shared" si="26"/>
        <v>6896876.2625000002</v>
      </c>
      <c r="AL35" s="89">
        <f t="shared" si="26"/>
        <v>0</v>
      </c>
      <c r="AM35" s="89">
        <f t="shared" si="26"/>
        <v>0</v>
      </c>
      <c r="AN35" s="89">
        <f t="shared" si="26"/>
        <v>0</v>
      </c>
      <c r="AO35" s="89">
        <f t="shared" si="26"/>
        <v>0</v>
      </c>
      <c r="AP35" s="90">
        <f t="shared" si="9"/>
        <v>6896876.2625000002</v>
      </c>
      <c r="AQ35" s="18">
        <f t="shared" si="6"/>
        <v>0</v>
      </c>
      <c r="AR35" s="66">
        <v>25</v>
      </c>
      <c r="AS35" s="208" t="s">
        <v>41</v>
      </c>
      <c r="AT35" s="16"/>
      <c r="AU35" s="16"/>
      <c r="AV35" s="16"/>
      <c r="AW35" s="16"/>
      <c r="AX35" s="16"/>
      <c r="AY35" s="16"/>
      <c r="AZ35" s="16"/>
      <c r="BA35" s="14"/>
    </row>
    <row r="36" spans="1:53" x14ac:dyDescent="0.35">
      <c r="A36" s="13"/>
      <c r="B36" s="215">
        <v>32</v>
      </c>
      <c r="C36" s="48" t="s">
        <v>136</v>
      </c>
      <c r="D36" s="72" t="s">
        <v>135</v>
      </c>
      <c r="E36" s="111"/>
      <c r="F36" s="73" t="s">
        <v>40</v>
      </c>
      <c r="G36" s="74">
        <v>45689</v>
      </c>
      <c r="H36" s="74">
        <v>47119</v>
      </c>
      <c r="I36" s="74">
        <v>45713</v>
      </c>
      <c r="J36" s="74">
        <v>47143</v>
      </c>
      <c r="K36" s="75">
        <v>9.2499999999999999E-2</v>
      </c>
      <c r="L36" s="73">
        <v>48</v>
      </c>
      <c r="M36" s="73">
        <v>8</v>
      </c>
      <c r="N36" s="48">
        <v>44</v>
      </c>
      <c r="O36" s="76">
        <v>89906.25</v>
      </c>
      <c r="P36" s="76">
        <v>3150000</v>
      </c>
      <c r="Q36" s="76">
        <v>1165500</v>
      </c>
      <c r="R36" s="76">
        <f t="shared" si="1"/>
        <v>4315500</v>
      </c>
      <c r="S36" s="77">
        <f t="shared" si="2"/>
        <v>3596250</v>
      </c>
      <c r="T36" s="78">
        <f>+M36*O36</f>
        <v>719250</v>
      </c>
      <c r="U36" s="79"/>
      <c r="V36" s="76"/>
      <c r="W36" s="77">
        <f t="shared" si="27"/>
        <v>3596250</v>
      </c>
      <c r="X36" s="81">
        <f t="shared" si="21"/>
        <v>3955875</v>
      </c>
      <c r="Y36" s="82">
        <f t="shared" si="7"/>
        <v>359625</v>
      </c>
      <c r="Z36" s="83">
        <f t="shared" si="29"/>
        <v>3596250</v>
      </c>
      <c r="AA36" s="84"/>
      <c r="AB36" s="84"/>
      <c r="AC36" s="84"/>
      <c r="AD36" s="84"/>
      <c r="AE36" s="85">
        <f t="shared" si="20"/>
        <v>3596250</v>
      </c>
      <c r="AF36" s="18">
        <f t="shared" si="11"/>
        <v>0</v>
      </c>
      <c r="AG36" s="76">
        <f t="shared" si="12"/>
        <v>4617585</v>
      </c>
      <c r="AH36" s="86">
        <f t="shared" si="12"/>
        <v>3847987.5</v>
      </c>
      <c r="AI36" s="61">
        <f t="shared" si="16"/>
        <v>0</v>
      </c>
      <c r="AJ36" s="87">
        <f t="shared" si="17"/>
        <v>0</v>
      </c>
      <c r="AK36" s="88">
        <f t="shared" si="26"/>
        <v>3847987.5</v>
      </c>
      <c r="AL36" s="89">
        <f t="shared" si="26"/>
        <v>0</v>
      </c>
      <c r="AM36" s="89">
        <f t="shared" si="26"/>
        <v>0</v>
      </c>
      <c r="AN36" s="89">
        <f t="shared" si="26"/>
        <v>0</v>
      </c>
      <c r="AO36" s="89">
        <f t="shared" si="26"/>
        <v>0</v>
      </c>
      <c r="AP36" s="90">
        <f t="shared" si="9"/>
        <v>3847987.5</v>
      </c>
      <c r="AQ36" s="18">
        <f t="shared" si="6"/>
        <v>0</v>
      </c>
      <c r="AR36" s="66">
        <v>25</v>
      </c>
      <c r="AS36" s="208" t="s">
        <v>41</v>
      </c>
      <c r="AT36" s="16"/>
      <c r="AU36" s="16"/>
      <c r="AV36" s="16"/>
      <c r="AW36" s="16"/>
      <c r="AX36" s="16"/>
      <c r="AY36" s="16"/>
      <c r="AZ36" s="16"/>
      <c r="BA36" s="14"/>
    </row>
    <row r="37" spans="1:53" x14ac:dyDescent="0.35">
      <c r="A37" s="13"/>
      <c r="B37" s="215">
        <v>33</v>
      </c>
      <c r="C37" s="48" t="s">
        <v>137</v>
      </c>
      <c r="D37" s="72" t="s">
        <v>138</v>
      </c>
      <c r="E37" s="111"/>
      <c r="F37" s="73" t="s">
        <v>40</v>
      </c>
      <c r="G37" s="74">
        <v>45717</v>
      </c>
      <c r="H37" s="74">
        <v>47213</v>
      </c>
      <c r="I37" s="74">
        <v>45782</v>
      </c>
      <c r="J37" s="74">
        <v>47213</v>
      </c>
      <c r="K37" s="75">
        <v>0.09</v>
      </c>
      <c r="L37" s="73">
        <v>48</v>
      </c>
      <c r="M37" s="73">
        <v>6</v>
      </c>
      <c r="N37" s="48">
        <v>44</v>
      </c>
      <c r="O37" s="76">
        <f>+[1]ไลฟ์!H5</f>
        <v>68822.038966666674</v>
      </c>
      <c r="P37" s="76">
        <v>2429013.14</v>
      </c>
      <c r="Q37" s="76">
        <f>+[1]ไลฟ์!G56</f>
        <v>874444.73039999988</v>
      </c>
      <c r="R37" s="76">
        <f t="shared" si="1"/>
        <v>3303457.8703999999</v>
      </c>
      <c r="S37" s="77">
        <f t="shared" si="2"/>
        <v>2890525.6365999999</v>
      </c>
      <c r="T37" s="78">
        <f>SUM([1]ไลฟ์!C8:C13)</f>
        <v>412932.23380000005</v>
      </c>
      <c r="U37" s="79">
        <f>+[1]ไลฟ์!X12</f>
        <v>61</v>
      </c>
      <c r="V37" s="76">
        <f>+[1]ไลฟ์!C14</f>
        <v>68822.038966666674</v>
      </c>
      <c r="W37" s="77">
        <f>S37-V37</f>
        <v>2821703.5976333329</v>
      </c>
      <c r="X37" s="81">
        <f t="shared" si="21"/>
        <v>3028169.7145333337</v>
      </c>
      <c r="Y37" s="82">
        <f t="shared" si="7"/>
        <v>206466.11690000049</v>
      </c>
      <c r="Z37" s="83">
        <f t="shared" si="29"/>
        <v>2821703.5976333329</v>
      </c>
      <c r="AA37" s="84">
        <f>+[1]ไลฟ์!C14</f>
        <v>68822.038966666674</v>
      </c>
      <c r="AB37" s="84"/>
      <c r="AC37" s="84"/>
      <c r="AD37" s="84"/>
      <c r="AE37" s="85">
        <f t="shared" si="20"/>
        <v>2890525.6365999999</v>
      </c>
      <c r="AF37" s="18">
        <f t="shared" si="11"/>
        <v>0</v>
      </c>
      <c r="AG37" s="76">
        <f t="shared" si="12"/>
        <v>3534699.9213280003</v>
      </c>
      <c r="AH37" s="86">
        <f t="shared" si="12"/>
        <v>3092862.4311620002</v>
      </c>
      <c r="AI37" s="61">
        <f t="shared" si="16"/>
        <v>61</v>
      </c>
      <c r="AJ37" s="87">
        <f t="shared" si="17"/>
        <v>73639.581694333348</v>
      </c>
      <c r="AK37" s="88">
        <f t="shared" si="26"/>
        <v>3019222.8494676664</v>
      </c>
      <c r="AL37" s="89">
        <f t="shared" si="26"/>
        <v>73639.581694333348</v>
      </c>
      <c r="AM37" s="89">
        <f t="shared" si="26"/>
        <v>0</v>
      </c>
      <c r="AN37" s="89">
        <f t="shared" si="26"/>
        <v>0</v>
      </c>
      <c r="AO37" s="89">
        <f t="shared" si="26"/>
        <v>0</v>
      </c>
      <c r="AP37" s="90">
        <f t="shared" si="9"/>
        <v>3092862.4311619997</v>
      </c>
      <c r="AQ37" s="18">
        <f t="shared" si="6"/>
        <v>0</v>
      </c>
      <c r="AR37" s="66">
        <v>5</v>
      </c>
      <c r="AS37" s="208" t="s">
        <v>68</v>
      </c>
      <c r="AT37" s="16"/>
      <c r="AU37" s="16"/>
      <c r="AV37" s="16"/>
      <c r="AW37" s="16"/>
      <c r="AX37" s="16"/>
      <c r="AY37" s="16"/>
      <c r="AZ37" s="16"/>
      <c r="BA37" s="14"/>
    </row>
    <row r="38" spans="1:53" x14ac:dyDescent="0.35">
      <c r="A38" s="13"/>
      <c r="B38" s="215">
        <v>34</v>
      </c>
      <c r="C38" s="48" t="s">
        <v>139</v>
      </c>
      <c r="D38" s="72" t="s">
        <v>140</v>
      </c>
      <c r="E38" s="111"/>
      <c r="F38" s="73" t="s">
        <v>40</v>
      </c>
      <c r="G38" s="74">
        <f>+'[1]VIP 2'!B8</f>
        <v>45778</v>
      </c>
      <c r="H38" s="74">
        <f>+J38</f>
        <v>47233</v>
      </c>
      <c r="I38" s="74">
        <v>45802</v>
      </c>
      <c r="J38" s="74">
        <v>47233</v>
      </c>
      <c r="K38" s="75">
        <v>0.09</v>
      </c>
      <c r="L38" s="73">
        <v>48</v>
      </c>
      <c r="M38" s="73">
        <v>3</v>
      </c>
      <c r="N38" s="48">
        <v>47</v>
      </c>
      <c r="O38" s="76">
        <f>+'[1]VIP 2'!H5</f>
        <v>65733.333333333343</v>
      </c>
      <c r="P38" s="76">
        <f>+'[1]VIP 2'!F3</f>
        <v>2320000</v>
      </c>
      <c r="Q38" s="76">
        <f>+'[1]VIP 2'!G56</f>
        <v>835200.00059579103</v>
      </c>
      <c r="R38" s="76">
        <f t="shared" si="1"/>
        <v>3155200.0005957913</v>
      </c>
      <c r="S38" s="77">
        <f>R38-T38</f>
        <v>2921064.3739291243</v>
      </c>
      <c r="T38" s="78">
        <f>+'[1]VIP 2'!C8+'[1]VIP 2'!C9+'[1]VIP 2'!C10+'[1]VIP 2'!C11-'[1]VIP 2'!S11</f>
        <v>234135.62666666671</v>
      </c>
      <c r="U38" s="79">
        <f>+'[1]VIP 2'!X12</f>
        <v>72</v>
      </c>
      <c r="V38" s="76">
        <f>+'[1]VIP 2'!S11+'[1]VIP 2'!C12</f>
        <v>94531.040000000008</v>
      </c>
      <c r="W38" s="77">
        <f>S38-V38</f>
        <v>2826533.3339291243</v>
      </c>
      <c r="X38" s="81">
        <f t="shared" si="21"/>
        <v>3089466.666666667</v>
      </c>
      <c r="Y38" s="82">
        <f t="shared" si="7"/>
        <v>262933.33273754269</v>
      </c>
      <c r="Z38" s="83">
        <f t="shared" si="29"/>
        <v>2826533.3339291243</v>
      </c>
      <c r="AA38" s="84">
        <f>+'[1]VIP 2'!S12/1.07</f>
        <v>65733.333333333328</v>
      </c>
      <c r="AB38" s="84">
        <f>+'[1]VIP 2'!S11</f>
        <v>28797.706666666658</v>
      </c>
      <c r="AC38" s="84"/>
      <c r="AD38" s="84"/>
      <c r="AE38" s="85">
        <f>SUM(Z38:AD38)</f>
        <v>2921064.3739291243</v>
      </c>
      <c r="AF38" s="18">
        <f t="shared" si="11"/>
        <v>0</v>
      </c>
      <c r="AG38" s="76">
        <f t="shared" si="12"/>
        <v>3376064.0006374968</v>
      </c>
      <c r="AH38" s="86">
        <f t="shared" si="12"/>
        <v>3125538.8801041632</v>
      </c>
      <c r="AI38" s="61">
        <f t="shared" si="16"/>
        <v>72</v>
      </c>
      <c r="AJ38" s="87">
        <f t="shared" si="17"/>
        <v>101148.21280000001</v>
      </c>
      <c r="AK38" s="88">
        <f t="shared" si="26"/>
        <v>3024390.6673041633</v>
      </c>
      <c r="AL38" s="89">
        <f t="shared" si="26"/>
        <v>70334.666666666672</v>
      </c>
      <c r="AM38" s="89">
        <f t="shared" si="26"/>
        <v>30813.546133333326</v>
      </c>
      <c r="AN38" s="89">
        <f t="shared" si="26"/>
        <v>0</v>
      </c>
      <c r="AO38" s="89">
        <f t="shared" si="26"/>
        <v>0</v>
      </c>
      <c r="AP38" s="90">
        <f t="shared" si="9"/>
        <v>3125538.8801041632</v>
      </c>
      <c r="AQ38" s="18">
        <f t="shared" si="6"/>
        <v>0</v>
      </c>
      <c r="AR38" s="66">
        <v>5</v>
      </c>
      <c r="AS38" s="208" t="s">
        <v>68</v>
      </c>
      <c r="AT38" s="16"/>
      <c r="AU38" s="16"/>
      <c r="AV38" s="16"/>
      <c r="AW38" s="16"/>
      <c r="AX38" s="16"/>
      <c r="AY38" s="16"/>
      <c r="AZ38" s="16"/>
      <c r="BA38" s="14"/>
    </row>
    <row r="39" spans="1:53" x14ac:dyDescent="0.35">
      <c r="A39" s="13"/>
      <c r="B39" s="215">
        <v>35</v>
      </c>
      <c r="C39" s="48" t="s">
        <v>141</v>
      </c>
      <c r="D39" s="72" t="s">
        <v>142</v>
      </c>
      <c r="E39" s="111"/>
      <c r="F39" s="73" t="s">
        <v>40</v>
      </c>
      <c r="G39" s="74">
        <f>+'[1]VIP 3'!B8</f>
        <v>45748</v>
      </c>
      <c r="H39" s="74">
        <f>+J39</f>
        <v>47202</v>
      </c>
      <c r="I39" s="74">
        <v>45772</v>
      </c>
      <c r="J39" s="74">
        <v>47202</v>
      </c>
      <c r="K39" s="75">
        <v>0.09</v>
      </c>
      <c r="L39" s="73">
        <v>48</v>
      </c>
      <c r="M39" s="73">
        <v>3</v>
      </c>
      <c r="N39" s="48">
        <v>46</v>
      </c>
      <c r="O39" s="76">
        <f>+'[1]VIP 3'!H5</f>
        <v>120360</v>
      </c>
      <c r="P39" s="76">
        <f>+'[1]VIP 3'!F3</f>
        <v>4248000</v>
      </c>
      <c r="Q39" s="76">
        <f>+'[1]VIP 3'!G56</f>
        <v>1529279.9639408798</v>
      </c>
      <c r="R39" s="76">
        <f t="shared" si="1"/>
        <v>5777279.9639408793</v>
      </c>
      <c r="S39" s="77">
        <f>R39-T39</f>
        <v>5395603.393940879</v>
      </c>
      <c r="T39" s="78">
        <f>SUM('[1]VIP 3'!C8:C10)+AB39-AC39</f>
        <v>381676.57</v>
      </c>
      <c r="U39" s="79">
        <f>+'[1]VIP 3'!X12</f>
        <v>103</v>
      </c>
      <c r="V39" s="76">
        <f>+'[1]VIP 3'!S11+'[1]VIP 3'!C12+'[1]VIP 3'!C13</f>
        <v>340483.43</v>
      </c>
      <c r="W39" s="77">
        <f>S39-V39</f>
        <v>5055119.9639408793</v>
      </c>
      <c r="X39" s="81">
        <f>+N39*O39</f>
        <v>5536560</v>
      </c>
      <c r="Y39" s="82">
        <f t="shared" si="7"/>
        <v>481440.03605912096</v>
      </c>
      <c r="Z39" s="83">
        <f>+W39</f>
        <v>5055119.9639408793</v>
      </c>
      <c r="AA39" s="84">
        <f>+'[1]VIP 3'!C13</f>
        <v>120360</v>
      </c>
      <c r="AB39" s="84">
        <f>+'[1]VIP 3'!C12</f>
        <v>120360</v>
      </c>
      <c r="AC39" s="84">
        <f>+'[1]VIP 3'!S11</f>
        <v>99763.43</v>
      </c>
      <c r="AD39" s="84"/>
      <c r="AE39" s="85">
        <f>SUM(Z39:AD39)</f>
        <v>5395603.393940879</v>
      </c>
      <c r="AF39" s="18">
        <f t="shared" si="11"/>
        <v>0</v>
      </c>
      <c r="AG39" s="76">
        <f>+R39*1.07</f>
        <v>6181689.5614167415</v>
      </c>
      <c r="AH39" s="86">
        <f>+S39*1.07</f>
        <v>5773295.6315167407</v>
      </c>
      <c r="AI39" s="61">
        <f t="shared" si="16"/>
        <v>103</v>
      </c>
      <c r="AJ39" s="87">
        <f>+V39*1.07</f>
        <v>364317.27010000002</v>
      </c>
      <c r="AK39" s="88">
        <f>+Z39*1.07</f>
        <v>5408978.3614167413</v>
      </c>
      <c r="AL39" s="89">
        <f t="shared" si="26"/>
        <v>128785.20000000001</v>
      </c>
      <c r="AM39" s="89">
        <f t="shared" si="26"/>
        <v>128785.20000000001</v>
      </c>
      <c r="AN39" s="89">
        <f t="shared" si="26"/>
        <v>106746.8701</v>
      </c>
      <c r="AO39" s="89">
        <f t="shared" si="26"/>
        <v>0</v>
      </c>
      <c r="AP39" s="90">
        <f>SUM(AK39:AO39)</f>
        <v>5773295.6315167416</v>
      </c>
      <c r="AQ39" s="18">
        <f t="shared" si="6"/>
        <v>0</v>
      </c>
      <c r="AR39" s="66">
        <v>5</v>
      </c>
      <c r="AS39" s="208" t="s">
        <v>68</v>
      </c>
      <c r="AT39" s="16"/>
      <c r="AU39" s="16"/>
      <c r="AV39" s="16"/>
      <c r="AW39" s="16"/>
      <c r="AX39" s="16"/>
      <c r="AY39" s="16"/>
      <c r="AZ39" s="16"/>
      <c r="BA39" s="14"/>
    </row>
    <row r="40" spans="1:53" x14ac:dyDescent="0.35">
      <c r="A40" s="13"/>
      <c r="B40" s="215">
        <v>36</v>
      </c>
      <c r="C40" s="48" t="s">
        <v>143</v>
      </c>
      <c r="D40" s="72" t="s">
        <v>144</v>
      </c>
      <c r="E40" s="111"/>
      <c r="F40" s="73" t="s">
        <v>40</v>
      </c>
      <c r="G40" s="74">
        <f>+[1]พลาญชัย!B8</f>
        <v>45778</v>
      </c>
      <c r="H40" s="74">
        <f>+J40</f>
        <v>47608</v>
      </c>
      <c r="I40" s="74">
        <f>+[1]พลาญชัย!L8</f>
        <v>45813</v>
      </c>
      <c r="J40" s="74">
        <v>47608</v>
      </c>
      <c r="K40" s="75">
        <f>+[1]พลาญชัย!F4</f>
        <v>9.7500000000000003E-2</v>
      </c>
      <c r="L40" s="73">
        <f>+[1]พลาญชัย!F5</f>
        <v>60</v>
      </c>
      <c r="M40" s="73">
        <v>4</v>
      </c>
      <c r="N40" s="48">
        <f t="shared" ref="N40:N43" si="30">+L40-M40</f>
        <v>56</v>
      </c>
      <c r="O40" s="76">
        <f>+[1]พลาญชัย!H5</f>
        <v>159460</v>
      </c>
      <c r="P40" s="76">
        <f>+[1]พลาญชัย!F3</f>
        <v>6432000</v>
      </c>
      <c r="Q40" s="76">
        <f>+[1]พลาญชัย!G68</f>
        <v>3135600</v>
      </c>
      <c r="R40" s="76">
        <f t="shared" si="1"/>
        <v>9567600</v>
      </c>
      <c r="S40" s="77">
        <f t="shared" si="2"/>
        <v>8929760</v>
      </c>
      <c r="T40" s="78">
        <f>+M40*O40</f>
        <v>637840</v>
      </c>
      <c r="U40" s="79">
        <f>+[1]พลาญชัย!X12</f>
        <v>46</v>
      </c>
      <c r="V40" s="76">
        <f>+[1]พลาญชัย!C12</f>
        <v>159460</v>
      </c>
      <c r="W40" s="77">
        <f>S40-V40</f>
        <v>8770300</v>
      </c>
      <c r="X40" s="81">
        <f t="shared" si="21"/>
        <v>8929760</v>
      </c>
      <c r="Y40" s="82">
        <f t="shared" si="7"/>
        <v>159460</v>
      </c>
      <c r="Z40" s="83">
        <f t="shared" ref="Z40:Z45" si="31">+W40</f>
        <v>8770300</v>
      </c>
      <c r="AA40" s="84">
        <f>+V40</f>
        <v>159460</v>
      </c>
      <c r="AB40" s="84"/>
      <c r="AC40" s="84"/>
      <c r="AD40" s="84"/>
      <c r="AE40" s="85">
        <f t="shared" si="20"/>
        <v>8929760</v>
      </c>
      <c r="AF40" s="18">
        <f t="shared" si="11"/>
        <v>0</v>
      </c>
      <c r="AG40" s="76">
        <f>+R40*1.07</f>
        <v>10237332</v>
      </c>
      <c r="AH40" s="86">
        <f>+S40*1.07</f>
        <v>9554843.2000000011</v>
      </c>
      <c r="AI40" s="61">
        <f t="shared" si="16"/>
        <v>46</v>
      </c>
      <c r="AJ40" s="87">
        <f t="shared" si="17"/>
        <v>170622.2</v>
      </c>
      <c r="AK40" s="88">
        <f>+Z40*1.07</f>
        <v>9384221</v>
      </c>
      <c r="AL40" s="89">
        <f t="shared" si="26"/>
        <v>170622.2</v>
      </c>
      <c r="AM40" s="89">
        <f t="shared" si="26"/>
        <v>0</v>
      </c>
      <c r="AN40" s="89">
        <f t="shared" si="26"/>
        <v>0</v>
      </c>
      <c r="AO40" s="89">
        <f t="shared" si="26"/>
        <v>0</v>
      </c>
      <c r="AP40" s="90">
        <f t="shared" si="9"/>
        <v>9554843.1999999993</v>
      </c>
      <c r="AQ40" s="18">
        <f t="shared" si="6"/>
        <v>0</v>
      </c>
      <c r="AR40" s="66">
        <v>20</v>
      </c>
      <c r="AS40" s="208" t="s">
        <v>68</v>
      </c>
      <c r="AT40" s="16"/>
      <c r="AU40" s="16"/>
      <c r="AV40" s="16"/>
      <c r="AW40" s="16"/>
      <c r="AX40" s="16"/>
      <c r="AY40" s="16"/>
      <c r="AZ40" s="16"/>
      <c r="BA40" s="14"/>
    </row>
    <row r="41" spans="1:53" x14ac:dyDescent="0.35">
      <c r="A41" s="13"/>
      <c r="B41" s="215">
        <v>37</v>
      </c>
      <c r="C41" s="48" t="s">
        <v>145</v>
      </c>
      <c r="D41" s="72" t="s">
        <v>146</v>
      </c>
      <c r="E41" s="111"/>
      <c r="F41" s="73" t="s">
        <v>40</v>
      </c>
      <c r="G41" s="74">
        <v>45870</v>
      </c>
      <c r="H41" s="74">
        <v>47300</v>
      </c>
      <c r="I41" s="74"/>
      <c r="J41" s="74"/>
      <c r="K41" s="75">
        <v>0.09</v>
      </c>
      <c r="L41" s="73">
        <v>48</v>
      </c>
      <c r="M41" s="73">
        <v>2</v>
      </c>
      <c r="N41" s="48">
        <f t="shared" si="30"/>
        <v>46</v>
      </c>
      <c r="O41" s="76">
        <f>+'[1]วิน วิน'!H5</f>
        <v>143475.57291666669</v>
      </c>
      <c r="P41" s="76">
        <f>+'[1]วิน วิน'!F56</f>
        <v>5063843.75</v>
      </c>
      <c r="Q41" s="76">
        <f>+'[1]วิน วิน'!G56</f>
        <v>1822983.75</v>
      </c>
      <c r="R41" s="76">
        <f t="shared" si="1"/>
        <v>6886827.5</v>
      </c>
      <c r="S41" s="77">
        <f t="shared" si="2"/>
        <v>6599876.354166667</v>
      </c>
      <c r="T41" s="78">
        <f t="shared" ref="T41:T48" si="32">+M41*O41</f>
        <v>286951.14583333337</v>
      </c>
      <c r="U41" s="79"/>
      <c r="V41" s="76"/>
      <c r="W41" s="77">
        <f t="shared" si="27"/>
        <v>6599876.354166667</v>
      </c>
      <c r="X41" s="81"/>
      <c r="Y41" s="82"/>
      <c r="Z41" s="83">
        <f t="shared" si="31"/>
        <v>6599876.354166667</v>
      </c>
      <c r="AA41" s="84"/>
      <c r="AB41" s="84"/>
      <c r="AC41" s="84"/>
      <c r="AD41" s="84"/>
      <c r="AE41" s="85">
        <f t="shared" si="20"/>
        <v>6599876.354166667</v>
      </c>
      <c r="AF41" s="18"/>
      <c r="AG41" s="76">
        <f t="shared" ref="AG41:AH45" si="33">+R41*1.07</f>
        <v>7368905.4250000007</v>
      </c>
      <c r="AH41" s="86">
        <f t="shared" si="33"/>
        <v>7061867.6989583345</v>
      </c>
      <c r="AI41" s="61">
        <f t="shared" si="16"/>
        <v>0</v>
      </c>
      <c r="AJ41" s="87">
        <f t="shared" si="17"/>
        <v>0</v>
      </c>
      <c r="AK41" s="88">
        <f t="shared" si="26"/>
        <v>7061867.6989583345</v>
      </c>
      <c r="AL41" s="89">
        <f t="shared" si="26"/>
        <v>0</v>
      </c>
      <c r="AM41" s="89">
        <f t="shared" si="26"/>
        <v>0</v>
      </c>
      <c r="AN41" s="89">
        <f t="shared" si="26"/>
        <v>0</v>
      </c>
      <c r="AO41" s="89">
        <f t="shared" si="26"/>
        <v>0</v>
      </c>
      <c r="AP41" s="90">
        <f t="shared" si="9"/>
        <v>7061867.6989583345</v>
      </c>
      <c r="AQ41" s="18">
        <f t="shared" si="6"/>
        <v>0</v>
      </c>
      <c r="AR41" s="66">
        <v>15</v>
      </c>
      <c r="AS41" s="208" t="s">
        <v>41</v>
      </c>
      <c r="AT41" s="16"/>
      <c r="AU41" s="16"/>
      <c r="AV41" s="16"/>
      <c r="AW41" s="16"/>
      <c r="AX41" s="16"/>
      <c r="AY41" s="16"/>
      <c r="AZ41" s="16"/>
      <c r="BA41" s="14"/>
    </row>
    <row r="42" spans="1:53" x14ac:dyDescent="0.35">
      <c r="A42" s="13"/>
      <c r="B42" s="215">
        <v>38</v>
      </c>
      <c r="C42" s="48" t="s">
        <v>147</v>
      </c>
      <c r="D42" s="72" t="s">
        <v>148</v>
      </c>
      <c r="E42" s="111"/>
      <c r="F42" s="73" t="s">
        <v>40</v>
      </c>
      <c r="G42" s="204">
        <v>45870</v>
      </c>
      <c r="H42" s="204">
        <v>47300</v>
      </c>
      <c r="I42" s="74"/>
      <c r="J42" s="74"/>
      <c r="K42" s="75">
        <v>9.2499999999999999E-2</v>
      </c>
      <c r="L42" s="73">
        <v>48</v>
      </c>
      <c r="M42" s="73">
        <v>2</v>
      </c>
      <c r="N42" s="48">
        <f t="shared" si="30"/>
        <v>46</v>
      </c>
      <c r="O42" s="76">
        <f>+'[1]PP+'!H5</f>
        <v>200933.33333333331</v>
      </c>
      <c r="P42" s="76">
        <f>+'[1]PP+'!F56</f>
        <v>7040000.0000000047</v>
      </c>
      <c r="Q42" s="76">
        <f>+'[1]PP+'!G56</f>
        <v>2604799.9999999995</v>
      </c>
      <c r="R42" s="76">
        <f t="shared" si="1"/>
        <v>9644800.0000000037</v>
      </c>
      <c r="S42" s="77">
        <f t="shared" si="2"/>
        <v>9242933.3333333377</v>
      </c>
      <c r="T42" s="78">
        <f t="shared" si="32"/>
        <v>401866.66666666663</v>
      </c>
      <c r="U42" s="79"/>
      <c r="V42" s="76"/>
      <c r="W42" s="77">
        <f t="shared" si="27"/>
        <v>9242933.3333333377</v>
      </c>
      <c r="X42" s="81"/>
      <c r="Y42" s="82"/>
      <c r="Z42" s="83">
        <f t="shared" si="31"/>
        <v>9242933.3333333377</v>
      </c>
      <c r="AA42" s="84"/>
      <c r="AB42" s="84"/>
      <c r="AC42" s="84"/>
      <c r="AD42" s="84"/>
      <c r="AE42" s="85">
        <f t="shared" si="20"/>
        <v>9242933.3333333377</v>
      </c>
      <c r="AF42" s="18"/>
      <c r="AG42" s="76">
        <f t="shared" si="33"/>
        <v>10319936.000000004</v>
      </c>
      <c r="AH42" s="86">
        <f t="shared" si="33"/>
        <v>9889938.6666666716</v>
      </c>
      <c r="AI42" s="61">
        <f t="shared" si="16"/>
        <v>0</v>
      </c>
      <c r="AJ42" s="87">
        <f t="shared" si="17"/>
        <v>0</v>
      </c>
      <c r="AK42" s="88">
        <f t="shared" si="26"/>
        <v>9889938.6666666716</v>
      </c>
      <c r="AL42" s="89">
        <f t="shared" si="26"/>
        <v>0</v>
      </c>
      <c r="AM42" s="89">
        <f t="shared" si="26"/>
        <v>0</v>
      </c>
      <c r="AN42" s="89">
        <f t="shared" si="26"/>
        <v>0</v>
      </c>
      <c r="AO42" s="89">
        <f t="shared" si="26"/>
        <v>0</v>
      </c>
      <c r="AP42" s="90">
        <f t="shared" si="9"/>
        <v>9889938.6666666716</v>
      </c>
      <c r="AQ42" s="18">
        <f t="shared" si="6"/>
        <v>0</v>
      </c>
      <c r="AR42" s="66">
        <v>20</v>
      </c>
      <c r="AS42" s="208" t="s">
        <v>41</v>
      </c>
      <c r="AT42" s="16"/>
      <c r="AU42" s="16"/>
      <c r="AV42" s="16"/>
      <c r="AW42" s="16"/>
      <c r="AX42" s="16"/>
      <c r="AY42" s="16"/>
      <c r="AZ42" s="16"/>
      <c r="BA42" s="14"/>
    </row>
    <row r="43" spans="1:53" x14ac:dyDescent="0.35">
      <c r="A43" s="13"/>
      <c r="B43" s="215">
        <v>39</v>
      </c>
      <c r="C43" s="48" t="s">
        <v>149</v>
      </c>
      <c r="D43" s="72" t="s">
        <v>150</v>
      </c>
      <c r="E43" s="111"/>
      <c r="F43" s="73" t="s">
        <v>40</v>
      </c>
      <c r="G43" s="204">
        <v>244252</v>
      </c>
      <c r="H43" s="204">
        <v>245682</v>
      </c>
      <c r="I43" s="74"/>
      <c r="J43" s="74"/>
      <c r="K43" s="75">
        <v>0.09</v>
      </c>
      <c r="L43" s="73">
        <v>48</v>
      </c>
      <c r="M43" s="73">
        <v>1</v>
      </c>
      <c r="N43" s="48">
        <f t="shared" si="30"/>
        <v>47</v>
      </c>
      <c r="O43" s="76">
        <f>+[1]ขอนแก่น!H5</f>
        <v>239595.73333333334</v>
      </c>
      <c r="P43" s="76">
        <f>+[1]ขอนแก่น!F56</f>
        <v>8456319.9999999944</v>
      </c>
      <c r="Q43" s="76">
        <f>+[1]ขอนแก่น!G56</f>
        <v>3044275.1999999974</v>
      </c>
      <c r="R43" s="76">
        <f t="shared" si="1"/>
        <v>11500595.199999992</v>
      </c>
      <c r="S43" s="77">
        <f t="shared" si="2"/>
        <v>11260999.466666659</v>
      </c>
      <c r="T43" s="78">
        <f t="shared" si="32"/>
        <v>239595.73333333334</v>
      </c>
      <c r="U43" s="79"/>
      <c r="V43" s="76"/>
      <c r="W43" s="77">
        <f t="shared" si="27"/>
        <v>11260999.466666659</v>
      </c>
      <c r="X43" s="81"/>
      <c r="Y43" s="82"/>
      <c r="Z43" s="83">
        <f t="shared" si="31"/>
        <v>11260999.466666659</v>
      </c>
      <c r="AA43" s="84"/>
      <c r="AB43" s="84"/>
      <c r="AC43" s="84"/>
      <c r="AD43" s="84"/>
      <c r="AE43" s="85">
        <f t="shared" si="20"/>
        <v>11260999.466666659</v>
      </c>
      <c r="AF43" s="18"/>
      <c r="AG43" s="76">
        <f t="shared" si="33"/>
        <v>12305636.863999993</v>
      </c>
      <c r="AH43" s="86">
        <f t="shared" si="33"/>
        <v>12049269.429333325</v>
      </c>
      <c r="AI43" s="61">
        <f t="shared" si="16"/>
        <v>0</v>
      </c>
      <c r="AJ43" s="87">
        <f t="shared" si="17"/>
        <v>0</v>
      </c>
      <c r="AK43" s="88">
        <f t="shared" si="26"/>
        <v>12049269.429333325</v>
      </c>
      <c r="AL43" s="89">
        <f t="shared" si="26"/>
        <v>0</v>
      </c>
      <c r="AM43" s="89">
        <f t="shared" si="26"/>
        <v>0</v>
      </c>
      <c r="AN43" s="89">
        <f t="shared" si="26"/>
        <v>0</v>
      </c>
      <c r="AO43" s="89">
        <f t="shared" si="26"/>
        <v>0</v>
      </c>
      <c r="AP43" s="90">
        <f t="shared" si="9"/>
        <v>12049269.429333325</v>
      </c>
      <c r="AQ43" s="18">
        <f t="shared" si="6"/>
        <v>0</v>
      </c>
      <c r="AR43" s="66">
        <v>25</v>
      </c>
      <c r="AS43" s="208" t="s">
        <v>41</v>
      </c>
      <c r="AT43" s="16"/>
      <c r="AU43" s="16"/>
      <c r="AV43" s="16"/>
      <c r="AW43" s="16"/>
      <c r="AX43" s="16"/>
      <c r="AY43" s="16"/>
      <c r="AZ43" s="16"/>
      <c r="BA43" s="14"/>
    </row>
    <row r="44" spans="1:53" x14ac:dyDescent="0.35">
      <c r="A44" s="13"/>
      <c r="B44" s="215">
        <v>40</v>
      </c>
      <c r="C44" s="48" t="s">
        <v>151</v>
      </c>
      <c r="D44" s="72" t="s">
        <v>152</v>
      </c>
      <c r="E44" s="111"/>
      <c r="F44" s="73" t="s">
        <v>40</v>
      </c>
      <c r="G44" s="204">
        <v>45870</v>
      </c>
      <c r="H44" s="204">
        <v>47300</v>
      </c>
      <c r="I44" s="74"/>
      <c r="J44" s="74"/>
      <c r="K44" s="75">
        <v>0.09</v>
      </c>
      <c r="L44" s="73">
        <v>48</v>
      </c>
      <c r="M44" s="73">
        <v>2</v>
      </c>
      <c r="N44" s="48">
        <f>+L44-M44</f>
        <v>46</v>
      </c>
      <c r="O44" s="76">
        <f>+'[1]มิลเลี่ยน 1'!H5</f>
        <v>93421.8</v>
      </c>
      <c r="P44" s="76">
        <f>+'[1]มิลเลี่ยน 1'!F56</f>
        <v>3297240</v>
      </c>
      <c r="Q44" s="76">
        <f>+'[1]มิลเลี่ยน 1'!G56</f>
        <v>1187006.4000000011</v>
      </c>
      <c r="R44" s="76">
        <f t="shared" si="1"/>
        <v>4484246.4000000013</v>
      </c>
      <c r="S44" s="77">
        <f t="shared" si="2"/>
        <v>4297402.8000000017</v>
      </c>
      <c r="T44" s="78">
        <f t="shared" si="32"/>
        <v>186843.6</v>
      </c>
      <c r="U44" s="79">
        <v>0</v>
      </c>
      <c r="V44" s="76">
        <v>0</v>
      </c>
      <c r="W44" s="77">
        <f t="shared" si="27"/>
        <v>4297402.8000000017</v>
      </c>
      <c r="X44" s="81"/>
      <c r="Y44" s="82"/>
      <c r="Z44" s="83">
        <f t="shared" si="31"/>
        <v>4297402.8000000017</v>
      </c>
      <c r="AA44" s="84"/>
      <c r="AB44" s="84"/>
      <c r="AC44" s="84"/>
      <c r="AD44" s="84"/>
      <c r="AE44" s="85">
        <f t="shared" si="20"/>
        <v>4297402.8000000017</v>
      </c>
      <c r="AF44" s="18"/>
      <c r="AG44" s="76">
        <f t="shared" si="33"/>
        <v>4798143.6480000019</v>
      </c>
      <c r="AH44" s="86">
        <f t="shared" si="33"/>
        <v>4598220.9960000021</v>
      </c>
      <c r="AI44" s="61">
        <f t="shared" si="16"/>
        <v>0</v>
      </c>
      <c r="AJ44" s="87">
        <f t="shared" si="17"/>
        <v>0</v>
      </c>
      <c r="AK44" s="88">
        <f t="shared" si="26"/>
        <v>4598220.9960000021</v>
      </c>
      <c r="AL44" s="89">
        <f t="shared" si="26"/>
        <v>0</v>
      </c>
      <c r="AM44" s="89">
        <f t="shared" si="26"/>
        <v>0</v>
      </c>
      <c r="AN44" s="89">
        <f t="shared" si="26"/>
        <v>0</v>
      </c>
      <c r="AO44" s="89">
        <f t="shared" si="26"/>
        <v>0</v>
      </c>
      <c r="AP44" s="90">
        <f t="shared" si="9"/>
        <v>4598220.9960000021</v>
      </c>
      <c r="AQ44" s="18">
        <f t="shared" si="6"/>
        <v>0</v>
      </c>
      <c r="AR44" s="66">
        <v>25</v>
      </c>
      <c r="AS44" s="208" t="s">
        <v>41</v>
      </c>
      <c r="AT44" s="16"/>
      <c r="AU44" s="16"/>
      <c r="AV44" s="16"/>
      <c r="AW44" s="16"/>
      <c r="AX44" s="16"/>
      <c r="AY44" s="16"/>
      <c r="AZ44" s="16"/>
      <c r="BA44" s="14"/>
    </row>
    <row r="45" spans="1:53" x14ac:dyDescent="0.35">
      <c r="A45" s="13"/>
      <c r="B45" s="215">
        <v>41</v>
      </c>
      <c r="C45" s="48" t="s">
        <v>153</v>
      </c>
      <c r="D45" s="72" t="s">
        <v>152</v>
      </c>
      <c r="E45" s="111"/>
      <c r="F45" s="73" t="s">
        <v>40</v>
      </c>
      <c r="G45" s="204">
        <v>45870</v>
      </c>
      <c r="H45" s="204">
        <v>47300</v>
      </c>
      <c r="I45" s="74"/>
      <c r="J45" s="74"/>
      <c r="K45" s="75">
        <v>0.09</v>
      </c>
      <c r="L45" s="73">
        <v>48</v>
      </c>
      <c r="M45" s="73">
        <v>2</v>
      </c>
      <c r="N45" s="48">
        <f>+L45-M45</f>
        <v>46</v>
      </c>
      <c r="O45" s="76">
        <f>+'[1]มิลเลี่ยน 2'!H5</f>
        <v>24640.467250000002</v>
      </c>
      <c r="P45" s="76">
        <v>869663.54999999935</v>
      </c>
      <c r="Q45" s="76">
        <v>313078.87800000026</v>
      </c>
      <c r="R45" s="76">
        <f t="shared" si="1"/>
        <v>1182742.4279999996</v>
      </c>
      <c r="S45" s="77">
        <f t="shared" si="2"/>
        <v>1133461.4934999996</v>
      </c>
      <c r="T45" s="78">
        <f t="shared" si="32"/>
        <v>49280.934500000003</v>
      </c>
      <c r="U45" s="79">
        <v>0</v>
      </c>
      <c r="V45" s="76">
        <v>0</v>
      </c>
      <c r="W45" s="77">
        <f>S45-V45</f>
        <v>1133461.4934999996</v>
      </c>
      <c r="X45" s="81"/>
      <c r="Y45" s="82"/>
      <c r="Z45" s="83">
        <f t="shared" si="31"/>
        <v>1133461.4934999996</v>
      </c>
      <c r="AA45" s="84"/>
      <c r="AB45" s="84"/>
      <c r="AC45" s="84"/>
      <c r="AD45" s="84"/>
      <c r="AE45" s="85">
        <f t="shared" si="20"/>
        <v>1133461.4934999996</v>
      </c>
      <c r="AF45" s="18"/>
      <c r="AG45" s="76">
        <f t="shared" si="33"/>
        <v>1265534.3979599997</v>
      </c>
      <c r="AH45" s="86">
        <f t="shared" si="33"/>
        <v>1212803.7980449996</v>
      </c>
      <c r="AI45" s="61">
        <f t="shared" si="16"/>
        <v>0</v>
      </c>
      <c r="AJ45" s="87">
        <f t="shared" si="17"/>
        <v>0</v>
      </c>
      <c r="AK45" s="88">
        <f t="shared" si="26"/>
        <v>1212803.7980449996</v>
      </c>
      <c r="AL45" s="89">
        <f t="shared" si="26"/>
        <v>0</v>
      </c>
      <c r="AM45" s="89">
        <f t="shared" si="26"/>
        <v>0</v>
      </c>
      <c r="AN45" s="89">
        <f t="shared" si="26"/>
        <v>0</v>
      </c>
      <c r="AO45" s="89">
        <f t="shared" si="26"/>
        <v>0</v>
      </c>
      <c r="AP45" s="90">
        <f t="shared" si="9"/>
        <v>1212803.7980449996</v>
      </c>
      <c r="AQ45" s="18">
        <f t="shared" si="6"/>
        <v>0</v>
      </c>
      <c r="AR45" s="66">
        <v>25</v>
      </c>
      <c r="AS45" s="208" t="s">
        <v>41</v>
      </c>
      <c r="AT45" s="16"/>
      <c r="AU45" s="16"/>
      <c r="AV45" s="16"/>
      <c r="AW45" s="16"/>
      <c r="AX45" s="16"/>
      <c r="AY45" s="16"/>
      <c r="AZ45" s="16"/>
      <c r="BA45" s="14"/>
    </row>
    <row r="46" spans="1:53" x14ac:dyDescent="0.35">
      <c r="A46" s="13"/>
      <c r="B46" s="215">
        <v>42</v>
      </c>
      <c r="C46" s="112" t="s">
        <v>154</v>
      </c>
      <c r="D46" s="72" t="s">
        <v>129</v>
      </c>
      <c r="E46" s="72"/>
      <c r="F46" s="73" t="s">
        <v>155</v>
      </c>
      <c r="G46" s="74">
        <v>45580</v>
      </c>
      <c r="H46" s="74">
        <v>47376</v>
      </c>
      <c r="I46" s="74">
        <f>+'[1]ออเร้นท์ 2'!I8</f>
        <v>45581</v>
      </c>
      <c r="J46" s="74">
        <v>47742</v>
      </c>
      <c r="K46" s="75">
        <v>9.5000000000000001E-2</v>
      </c>
      <c r="L46" s="73">
        <v>60</v>
      </c>
      <c r="M46" s="73">
        <v>2</v>
      </c>
      <c r="N46" s="112">
        <f>+L46-M46</f>
        <v>58</v>
      </c>
      <c r="O46" s="76">
        <v>83976.666666666672</v>
      </c>
      <c r="P46" s="76">
        <v>3416000</v>
      </c>
      <c r="Q46" s="76">
        <v>1622599.9999999988</v>
      </c>
      <c r="R46" s="76">
        <f>+P46+Q46</f>
        <v>5038599.9999999991</v>
      </c>
      <c r="S46" s="77">
        <f t="shared" si="2"/>
        <v>4870646.666666666</v>
      </c>
      <c r="T46" s="113">
        <f t="shared" si="32"/>
        <v>167953.33333333334</v>
      </c>
      <c r="U46" s="61">
        <f>+'[1]ออเร้นท์ 2'!X12</f>
        <v>325</v>
      </c>
      <c r="V46" s="76">
        <f>SUM('[1]ออเร้นท์ 2'!C10:C19)</f>
        <v>839766.66666666663</v>
      </c>
      <c r="W46" s="77">
        <f>S46-V46</f>
        <v>4030879.9999999995</v>
      </c>
      <c r="X46" s="81">
        <f t="shared" si="21"/>
        <v>4870646.666666667</v>
      </c>
      <c r="Y46" s="82">
        <f t="shared" si="7"/>
        <v>839766.66666666756</v>
      </c>
      <c r="Z46" s="83">
        <f>+W46</f>
        <v>4030879.9999999995</v>
      </c>
      <c r="AA46" s="84">
        <f>+'[1]ออเร้นท์ 2'!C15</f>
        <v>83976.666666666672</v>
      </c>
      <c r="AB46" s="84">
        <f>+'[1]ออเร้นท์ 2'!C14</f>
        <v>83976.666666666672</v>
      </c>
      <c r="AC46" s="84">
        <f>+'[1]ออเร้นท์ 2'!C13</f>
        <v>83976.666666666672</v>
      </c>
      <c r="AD46" s="84">
        <f>+O46*7</f>
        <v>587836.66666666674</v>
      </c>
      <c r="AE46" s="85">
        <f t="shared" si="20"/>
        <v>4870646.666666667</v>
      </c>
      <c r="AF46" s="18">
        <f t="shared" si="11"/>
        <v>0</v>
      </c>
      <c r="AG46" s="76">
        <f t="shared" ref="AG46:AH53" si="34">+R46</f>
        <v>5038599.9999999991</v>
      </c>
      <c r="AH46" s="86">
        <f t="shared" si="34"/>
        <v>4870646.666666666</v>
      </c>
      <c r="AI46" s="61">
        <f t="shared" si="16"/>
        <v>325</v>
      </c>
      <c r="AJ46" s="87">
        <f>+V46</f>
        <v>839766.66666666663</v>
      </c>
      <c r="AK46" s="88">
        <f t="shared" ref="AK46:AO53" si="35">+Z46</f>
        <v>4030879.9999999995</v>
      </c>
      <c r="AL46" s="89">
        <f t="shared" si="35"/>
        <v>83976.666666666672</v>
      </c>
      <c r="AM46" s="89">
        <f t="shared" si="35"/>
        <v>83976.666666666672</v>
      </c>
      <c r="AN46" s="89">
        <f t="shared" si="35"/>
        <v>83976.666666666672</v>
      </c>
      <c r="AO46" s="89">
        <f t="shared" si="35"/>
        <v>587836.66666666674</v>
      </c>
      <c r="AP46" s="90">
        <f>SUM(AK46:AO46)</f>
        <v>4870646.666666667</v>
      </c>
      <c r="AQ46" s="18">
        <f>+AP46-AH46</f>
        <v>0</v>
      </c>
      <c r="AR46" s="66">
        <v>15</v>
      </c>
      <c r="AS46" s="208" t="s">
        <v>68</v>
      </c>
      <c r="AT46" s="16"/>
      <c r="AU46" s="16"/>
      <c r="AV46" s="16"/>
      <c r="AW46" s="16"/>
      <c r="AX46" s="16"/>
      <c r="AY46" s="16"/>
      <c r="AZ46" s="16"/>
      <c r="BA46" s="14"/>
    </row>
    <row r="47" spans="1:53" x14ac:dyDescent="0.35">
      <c r="A47" s="13"/>
      <c r="B47" s="215">
        <v>43</v>
      </c>
      <c r="C47" s="112" t="s">
        <v>156</v>
      </c>
      <c r="D47" s="72" t="s">
        <v>86</v>
      </c>
      <c r="E47" s="72"/>
      <c r="F47" s="73" t="s">
        <v>155</v>
      </c>
      <c r="G47" s="74">
        <v>45651</v>
      </c>
      <c r="H47" s="74">
        <v>46351</v>
      </c>
      <c r="I47" s="74">
        <v>45651</v>
      </c>
      <c r="J47" s="74">
        <v>46351</v>
      </c>
      <c r="K47" s="75">
        <v>0.15</v>
      </c>
      <c r="L47" s="73">
        <v>24</v>
      </c>
      <c r="M47" s="73">
        <v>2</v>
      </c>
      <c r="N47" s="112">
        <f t="shared" ref="N47:N53" si="36">+L47-M47</f>
        <v>22</v>
      </c>
      <c r="O47" s="76">
        <v>16250</v>
      </c>
      <c r="P47" s="76">
        <v>300000</v>
      </c>
      <c r="Q47" s="76">
        <v>90000</v>
      </c>
      <c r="R47" s="76">
        <f>+P47+Q47</f>
        <v>390000</v>
      </c>
      <c r="S47" s="77">
        <f t="shared" si="2"/>
        <v>357500</v>
      </c>
      <c r="T47" s="113">
        <f t="shared" si="32"/>
        <v>32500</v>
      </c>
      <c r="U47" s="61">
        <f>+'[1]โตโน่ 2'!L3</f>
        <v>253</v>
      </c>
      <c r="V47" s="76">
        <f>SUM('[1]โตโน่ 2'!C10:C17)</f>
        <v>130000</v>
      </c>
      <c r="W47" s="77">
        <f t="shared" si="27"/>
        <v>227500</v>
      </c>
      <c r="X47" s="81">
        <f t="shared" si="21"/>
        <v>357500</v>
      </c>
      <c r="Y47" s="82">
        <f t="shared" si="7"/>
        <v>130000</v>
      </c>
      <c r="Z47" s="83">
        <f t="shared" ref="Z47:Z53" si="37">+W47</f>
        <v>227500</v>
      </c>
      <c r="AA47" s="84">
        <f>+'[1]โตโน่ 2'!C13</f>
        <v>16250</v>
      </c>
      <c r="AB47" s="84">
        <f>+'[1]โตโน่ 2'!C12</f>
        <v>16250</v>
      </c>
      <c r="AC47" s="84">
        <f>+'[1]โตโน่ 2'!C11</f>
        <v>16250</v>
      </c>
      <c r="AD47" s="84">
        <f>SUM('[1]โตโน่ 2'!C10:C14)</f>
        <v>81250</v>
      </c>
      <c r="AE47" s="85">
        <f>SUM(Z47:AD47)</f>
        <v>357500</v>
      </c>
      <c r="AF47" s="18">
        <f t="shared" si="11"/>
        <v>0</v>
      </c>
      <c r="AG47" s="76">
        <f t="shared" si="34"/>
        <v>390000</v>
      </c>
      <c r="AH47" s="86">
        <f t="shared" si="34"/>
        <v>357500</v>
      </c>
      <c r="AI47" s="61">
        <f t="shared" si="16"/>
        <v>253</v>
      </c>
      <c r="AJ47" s="87">
        <f>+V47</f>
        <v>130000</v>
      </c>
      <c r="AK47" s="88">
        <f t="shared" si="35"/>
        <v>227500</v>
      </c>
      <c r="AL47" s="89">
        <f t="shared" si="35"/>
        <v>16250</v>
      </c>
      <c r="AM47" s="89">
        <f t="shared" si="35"/>
        <v>16250</v>
      </c>
      <c r="AN47" s="89">
        <f t="shared" si="35"/>
        <v>16250</v>
      </c>
      <c r="AO47" s="89">
        <f t="shared" si="35"/>
        <v>81250</v>
      </c>
      <c r="AP47" s="90">
        <f t="shared" si="9"/>
        <v>357500</v>
      </c>
      <c r="AQ47" s="18">
        <f t="shared" si="6"/>
        <v>0</v>
      </c>
      <c r="AR47" s="66">
        <v>25</v>
      </c>
      <c r="AS47" s="208" t="s">
        <v>56</v>
      </c>
      <c r="AT47" s="16"/>
      <c r="AU47" s="16"/>
      <c r="AV47" s="16"/>
      <c r="AW47" s="16"/>
      <c r="AX47" s="16"/>
      <c r="AY47" s="16"/>
      <c r="AZ47" s="16"/>
      <c r="BA47" s="14"/>
    </row>
    <row r="48" spans="1:53" x14ac:dyDescent="0.35">
      <c r="A48" s="13"/>
      <c r="B48" s="215">
        <v>44</v>
      </c>
      <c r="C48" s="112" t="s">
        <v>157</v>
      </c>
      <c r="D48" s="72" t="s">
        <v>121</v>
      </c>
      <c r="E48" s="72"/>
      <c r="F48" s="73" t="s">
        <v>155</v>
      </c>
      <c r="G48" s="74">
        <v>45536</v>
      </c>
      <c r="H48" s="74">
        <v>46966</v>
      </c>
      <c r="I48" s="74"/>
      <c r="J48" s="74"/>
      <c r="K48" s="75">
        <v>0.15</v>
      </c>
      <c r="L48" s="73">
        <v>48</v>
      </c>
      <c r="M48" s="73">
        <v>12</v>
      </c>
      <c r="N48" s="112">
        <f t="shared" si="36"/>
        <v>36</v>
      </c>
      <c r="O48" s="76">
        <v>127215.46355599401</v>
      </c>
      <c r="P48" s="76">
        <v>4571040</v>
      </c>
      <c r="Q48" s="76">
        <v>1535302.2506876916</v>
      </c>
      <c r="R48" s="76">
        <v>6106342.2506876914</v>
      </c>
      <c r="S48" s="77">
        <v>4834187.6151277553</v>
      </c>
      <c r="T48" s="113">
        <f t="shared" si="32"/>
        <v>1526585.5626719282</v>
      </c>
      <c r="U48" s="61">
        <v>20</v>
      </c>
      <c r="V48" s="76">
        <f>+'[1]สำราญทรัพย์ 2'!C20</f>
        <v>127215.4635559936</v>
      </c>
      <c r="W48" s="77">
        <f t="shared" si="27"/>
        <v>4706972.1515717618</v>
      </c>
      <c r="X48" s="81">
        <f t="shared" si="21"/>
        <v>4579756.6880157841</v>
      </c>
      <c r="Y48" s="82">
        <f t="shared" si="7"/>
        <v>-127215.46355597759</v>
      </c>
      <c r="Z48" s="83">
        <f t="shared" si="37"/>
        <v>4706972.1515717618</v>
      </c>
      <c r="AA48" s="84">
        <f>+V48</f>
        <v>127215.4635559936</v>
      </c>
      <c r="AB48" s="84"/>
      <c r="AC48" s="84"/>
      <c r="AD48" s="84"/>
      <c r="AE48" s="85">
        <f>SUM(Z48:AD48)</f>
        <v>4834187.6151277553</v>
      </c>
      <c r="AF48" s="18">
        <f t="shared" si="11"/>
        <v>0</v>
      </c>
      <c r="AG48" s="76">
        <f t="shared" si="34"/>
        <v>6106342.2506876914</v>
      </c>
      <c r="AH48" s="86">
        <f t="shared" si="34"/>
        <v>4834187.6151277553</v>
      </c>
      <c r="AI48" s="61">
        <f t="shared" si="16"/>
        <v>20</v>
      </c>
      <c r="AJ48" s="87">
        <f t="shared" si="16"/>
        <v>127215.4635559936</v>
      </c>
      <c r="AK48" s="88">
        <f t="shared" si="35"/>
        <v>4706972.1515717618</v>
      </c>
      <c r="AL48" s="89">
        <f t="shared" si="35"/>
        <v>127215.4635559936</v>
      </c>
      <c r="AM48" s="89">
        <f t="shared" si="35"/>
        <v>0</v>
      </c>
      <c r="AN48" s="89">
        <f t="shared" si="35"/>
        <v>0</v>
      </c>
      <c r="AO48" s="89">
        <f t="shared" si="35"/>
        <v>0</v>
      </c>
      <c r="AP48" s="90">
        <f t="shared" si="9"/>
        <v>4834187.6151277553</v>
      </c>
      <c r="AQ48" s="18">
        <f t="shared" si="6"/>
        <v>0</v>
      </c>
      <c r="AR48" s="66">
        <v>5</v>
      </c>
      <c r="AS48" s="208" t="s">
        <v>68</v>
      </c>
      <c r="AT48" s="16"/>
      <c r="AU48" s="16"/>
      <c r="AV48" s="16"/>
      <c r="AW48" s="16"/>
      <c r="AX48" s="16"/>
      <c r="AY48" s="16"/>
      <c r="AZ48" s="16"/>
      <c r="BA48" s="14"/>
    </row>
    <row r="49" spans="1:53" x14ac:dyDescent="0.35">
      <c r="A49" s="13"/>
      <c r="B49" s="215">
        <v>45</v>
      </c>
      <c r="C49" s="112" t="s">
        <v>158</v>
      </c>
      <c r="D49" s="72" t="s">
        <v>135</v>
      </c>
      <c r="E49" s="72"/>
      <c r="F49" s="73" t="s">
        <v>159</v>
      </c>
      <c r="G49" s="74">
        <v>45678</v>
      </c>
      <c r="H49" s="74">
        <v>47143</v>
      </c>
      <c r="I49" s="74"/>
      <c r="J49" s="74"/>
      <c r="K49" s="75">
        <v>0.15</v>
      </c>
      <c r="L49" s="73"/>
      <c r="M49" s="73"/>
      <c r="N49" s="112">
        <f t="shared" si="36"/>
        <v>0</v>
      </c>
      <c r="O49" s="76"/>
      <c r="P49" s="76">
        <f>30000000*0.3</f>
        <v>9000000</v>
      </c>
      <c r="Q49" s="76"/>
      <c r="R49" s="76"/>
      <c r="S49" s="77">
        <v>0</v>
      </c>
      <c r="T49" s="113">
        <v>0</v>
      </c>
      <c r="U49" s="61"/>
      <c r="V49" s="76"/>
      <c r="W49" s="77">
        <f t="shared" si="27"/>
        <v>0</v>
      </c>
      <c r="X49" s="81">
        <f t="shared" si="21"/>
        <v>0</v>
      </c>
      <c r="Y49" s="82">
        <f t="shared" si="7"/>
        <v>0</v>
      </c>
      <c r="Z49" s="83">
        <f t="shared" si="37"/>
        <v>0</v>
      </c>
      <c r="AA49" s="84"/>
      <c r="AB49" s="84"/>
      <c r="AC49" s="84"/>
      <c r="AD49" s="84"/>
      <c r="AE49" s="85">
        <f t="shared" ref="AE49:AE50" si="38">SUM(Z49:AD49)</f>
        <v>0</v>
      </c>
      <c r="AF49" s="18"/>
      <c r="AG49" s="76">
        <f t="shared" si="34"/>
        <v>0</v>
      </c>
      <c r="AH49" s="86">
        <f t="shared" si="34"/>
        <v>0</v>
      </c>
      <c r="AI49" s="61">
        <f t="shared" si="16"/>
        <v>0</v>
      </c>
      <c r="AJ49" s="87">
        <f t="shared" si="16"/>
        <v>0</v>
      </c>
      <c r="AK49" s="88">
        <f t="shared" si="35"/>
        <v>0</v>
      </c>
      <c r="AL49" s="89">
        <f t="shared" si="35"/>
        <v>0</v>
      </c>
      <c r="AM49" s="89">
        <f t="shared" si="35"/>
        <v>0</v>
      </c>
      <c r="AN49" s="89">
        <f t="shared" si="35"/>
        <v>0</v>
      </c>
      <c r="AO49" s="89">
        <f t="shared" si="35"/>
        <v>0</v>
      </c>
      <c r="AP49" s="90">
        <f t="shared" si="9"/>
        <v>0</v>
      </c>
      <c r="AQ49" s="18">
        <f t="shared" si="6"/>
        <v>0</v>
      </c>
      <c r="AR49" s="66">
        <v>5</v>
      </c>
      <c r="AS49" s="208" t="s">
        <v>41</v>
      </c>
      <c r="AT49" s="16"/>
      <c r="AU49" s="16"/>
      <c r="AV49" s="16"/>
      <c r="AW49" s="16"/>
      <c r="AX49" s="16"/>
      <c r="AY49" s="16"/>
      <c r="AZ49" s="16"/>
      <c r="BA49" s="14"/>
    </row>
    <row r="50" spans="1:53" x14ac:dyDescent="0.35">
      <c r="A50" s="13"/>
      <c r="B50" s="215">
        <v>46</v>
      </c>
      <c r="C50" s="112" t="s">
        <v>160</v>
      </c>
      <c r="D50" s="72" t="s">
        <v>161</v>
      </c>
      <c r="E50" s="72"/>
      <c r="F50" s="73" t="s">
        <v>155</v>
      </c>
      <c r="G50" s="74">
        <v>45671</v>
      </c>
      <c r="H50" s="74">
        <v>45760</v>
      </c>
      <c r="I50" s="74">
        <v>45701</v>
      </c>
      <c r="J50" s="74">
        <v>45760</v>
      </c>
      <c r="K50" s="75">
        <v>0.15</v>
      </c>
      <c r="L50" s="73">
        <v>3</v>
      </c>
      <c r="M50" s="73"/>
      <c r="N50" s="112">
        <f t="shared" si="36"/>
        <v>3</v>
      </c>
      <c r="O50" s="76">
        <v>0</v>
      </c>
      <c r="P50" s="76">
        <v>7000000</v>
      </c>
      <c r="Q50" s="76">
        <f>+P50*15%*0.25</f>
        <v>262500</v>
      </c>
      <c r="R50" s="76">
        <f>+P50+Q50</f>
        <v>7262500</v>
      </c>
      <c r="S50" s="77">
        <f>R50-T50</f>
        <v>7175000</v>
      </c>
      <c r="T50" s="113">
        <v>87500</v>
      </c>
      <c r="U50" s="61">
        <f ca="1">+TODAY()-J50</f>
        <v>206</v>
      </c>
      <c r="V50" s="76">
        <f>+S50</f>
        <v>7175000</v>
      </c>
      <c r="W50" s="77">
        <f t="shared" si="27"/>
        <v>0</v>
      </c>
      <c r="X50" s="81">
        <f t="shared" si="21"/>
        <v>0</v>
      </c>
      <c r="Y50" s="82">
        <f t="shared" si="7"/>
        <v>0</v>
      </c>
      <c r="Z50" s="83">
        <f t="shared" si="37"/>
        <v>0</v>
      </c>
      <c r="AA50" s="84"/>
      <c r="AB50" s="84"/>
      <c r="AC50" s="84"/>
      <c r="AD50" s="84">
        <f>+V50</f>
        <v>7175000</v>
      </c>
      <c r="AE50" s="85">
        <f t="shared" si="38"/>
        <v>7175000</v>
      </c>
      <c r="AF50" s="18">
        <f>+AE50-S50</f>
        <v>0</v>
      </c>
      <c r="AG50" s="76">
        <f t="shared" si="34"/>
        <v>7262500</v>
      </c>
      <c r="AH50" s="86">
        <f t="shared" si="34"/>
        <v>7175000</v>
      </c>
      <c r="AI50" s="61">
        <f t="shared" ca="1" si="16"/>
        <v>206</v>
      </c>
      <c r="AJ50" s="87">
        <f t="shared" si="16"/>
        <v>7175000</v>
      </c>
      <c r="AK50" s="88">
        <f t="shared" si="35"/>
        <v>0</v>
      </c>
      <c r="AL50" s="89">
        <f t="shared" si="35"/>
        <v>0</v>
      </c>
      <c r="AM50" s="89">
        <f t="shared" si="35"/>
        <v>0</v>
      </c>
      <c r="AN50" s="89">
        <f t="shared" si="35"/>
        <v>0</v>
      </c>
      <c r="AO50" s="89">
        <f t="shared" si="35"/>
        <v>7175000</v>
      </c>
      <c r="AP50" s="90">
        <f t="shared" si="9"/>
        <v>7175000</v>
      </c>
      <c r="AQ50" s="18">
        <f t="shared" si="6"/>
        <v>0</v>
      </c>
      <c r="AR50" s="66"/>
      <c r="AS50" s="208" t="s">
        <v>68</v>
      </c>
      <c r="AT50" s="16"/>
      <c r="AU50" s="16"/>
      <c r="AV50" s="16"/>
      <c r="AW50" s="16"/>
      <c r="AX50" s="16"/>
      <c r="AY50" s="16"/>
      <c r="AZ50" s="16"/>
      <c r="BA50" s="14"/>
    </row>
    <row r="51" spans="1:53" x14ac:dyDescent="0.35">
      <c r="A51" s="13"/>
      <c r="B51" s="215">
        <v>47</v>
      </c>
      <c r="C51" s="112" t="s">
        <v>162</v>
      </c>
      <c r="D51" s="72" t="str">
        <f>+D21</f>
        <v>บริษัท โปรเทค ฟิลด์ จำกัด</v>
      </c>
      <c r="E51" s="72"/>
      <c r="F51" s="73" t="s">
        <v>159</v>
      </c>
      <c r="G51" s="74">
        <v>45786</v>
      </c>
      <c r="H51" s="74">
        <v>46121</v>
      </c>
      <c r="I51" s="74"/>
      <c r="J51" s="74"/>
      <c r="K51" s="75">
        <v>0.15</v>
      </c>
      <c r="L51" s="73"/>
      <c r="M51" s="73"/>
      <c r="N51" s="112">
        <f t="shared" si="36"/>
        <v>0</v>
      </c>
      <c r="O51" s="76"/>
      <c r="P51" s="76">
        <v>10000000</v>
      </c>
      <c r="Q51" s="76"/>
      <c r="R51" s="76"/>
      <c r="S51" s="77">
        <v>6374539.0199999996</v>
      </c>
      <c r="T51" s="113">
        <v>0</v>
      </c>
      <c r="U51" s="61">
        <v>95</v>
      </c>
      <c r="V51" s="76">
        <v>1513653.6</v>
      </c>
      <c r="W51" s="77">
        <f>S51-V51</f>
        <v>4860885.42</v>
      </c>
      <c r="X51" s="81">
        <f t="shared" si="21"/>
        <v>0</v>
      </c>
      <c r="Y51" s="82">
        <f t="shared" si="7"/>
        <v>-4860885.42</v>
      </c>
      <c r="Z51" s="83">
        <f t="shared" si="37"/>
        <v>4860885.42</v>
      </c>
      <c r="AA51" s="84"/>
      <c r="AB51" s="84"/>
      <c r="AC51" s="84">
        <v>281984</v>
      </c>
      <c r="AD51" s="84">
        <v>1231669.6000000001</v>
      </c>
      <c r="AE51" s="85">
        <f t="shared" ref="AE51:AE53" si="39">SUM(Z51:AD51)</f>
        <v>6374539.0199999996</v>
      </c>
      <c r="AF51" s="18">
        <f t="shared" si="11"/>
        <v>0</v>
      </c>
      <c r="AG51" s="76">
        <f t="shared" si="34"/>
        <v>0</v>
      </c>
      <c r="AH51" s="86">
        <f t="shared" si="34"/>
        <v>6374539.0199999996</v>
      </c>
      <c r="AI51" s="61">
        <f t="shared" si="16"/>
        <v>95</v>
      </c>
      <c r="AJ51" s="87">
        <f t="shared" si="16"/>
        <v>1513653.6</v>
      </c>
      <c r="AK51" s="88">
        <f t="shared" si="35"/>
        <v>4860885.42</v>
      </c>
      <c r="AL51" s="89">
        <f t="shared" si="35"/>
        <v>0</v>
      </c>
      <c r="AM51" s="89">
        <f t="shared" si="35"/>
        <v>0</v>
      </c>
      <c r="AN51" s="89">
        <f t="shared" si="35"/>
        <v>281984</v>
      </c>
      <c r="AO51" s="89">
        <f t="shared" si="35"/>
        <v>1231669.6000000001</v>
      </c>
      <c r="AP51" s="90">
        <f t="shared" si="9"/>
        <v>6374539.0199999996</v>
      </c>
      <c r="AQ51" s="18">
        <f t="shared" si="6"/>
        <v>0</v>
      </c>
      <c r="AR51" s="66"/>
      <c r="AS51" s="208" t="s">
        <v>41</v>
      </c>
      <c r="AT51" s="16"/>
      <c r="AU51" s="16"/>
      <c r="AV51" s="16"/>
      <c r="AW51" s="16"/>
      <c r="AX51" s="16"/>
      <c r="AY51" s="16"/>
      <c r="AZ51" s="16"/>
      <c r="BA51" s="14"/>
    </row>
    <row r="52" spans="1:53" x14ac:dyDescent="0.35">
      <c r="A52" s="13"/>
      <c r="B52" s="215">
        <v>48</v>
      </c>
      <c r="C52" s="112" t="s">
        <v>163</v>
      </c>
      <c r="D52" s="72" t="s">
        <v>38</v>
      </c>
      <c r="E52" s="72" t="s">
        <v>164</v>
      </c>
      <c r="F52" s="73" t="s">
        <v>165</v>
      </c>
      <c r="G52" s="74">
        <v>43525</v>
      </c>
      <c r="H52" s="74">
        <v>46081</v>
      </c>
      <c r="I52" s="74">
        <v>43375</v>
      </c>
      <c r="J52" s="74">
        <v>45840</v>
      </c>
      <c r="K52" s="75">
        <v>0.10549736999999999</v>
      </c>
      <c r="L52" s="73">
        <v>84</v>
      </c>
      <c r="M52" s="73">
        <v>72</v>
      </c>
      <c r="N52" s="112">
        <f t="shared" si="36"/>
        <v>12</v>
      </c>
      <c r="O52" s="76">
        <v>135401.2825177123</v>
      </c>
      <c r="P52" s="76">
        <v>8018262.4800000004</v>
      </c>
      <c r="Q52" s="76">
        <v>3355445.2514878325</v>
      </c>
      <c r="R52" s="76">
        <f>P52+Q52</f>
        <v>11373707.731487833</v>
      </c>
      <c r="S52" s="77">
        <f>R52-T52</f>
        <v>1624815.390212547</v>
      </c>
      <c r="T52" s="113">
        <f>+M52*O52</f>
        <v>9748892.3412752859</v>
      </c>
      <c r="U52" s="79"/>
      <c r="V52" s="76"/>
      <c r="W52" s="77">
        <f t="shared" si="27"/>
        <v>1624815.390212547</v>
      </c>
      <c r="X52" s="81">
        <f t="shared" si="21"/>
        <v>1624815.3902125475</v>
      </c>
      <c r="Y52" s="82">
        <f t="shared" si="7"/>
        <v>4.6566128730773926E-10</v>
      </c>
      <c r="Z52" s="83">
        <f t="shared" si="37"/>
        <v>1624815.390212547</v>
      </c>
      <c r="AA52" s="84"/>
      <c r="AB52" s="84"/>
      <c r="AC52" s="84"/>
      <c r="AD52" s="84"/>
      <c r="AE52" s="85">
        <f t="shared" si="39"/>
        <v>1624815.390212547</v>
      </c>
      <c r="AF52" s="18">
        <f t="shared" si="11"/>
        <v>0</v>
      </c>
      <c r="AG52" s="76">
        <f t="shared" si="34"/>
        <v>11373707.731487833</v>
      </c>
      <c r="AH52" s="86">
        <f t="shared" si="34"/>
        <v>1624815.390212547</v>
      </c>
      <c r="AI52" s="61">
        <f t="shared" si="16"/>
        <v>0</v>
      </c>
      <c r="AJ52" s="87">
        <f t="shared" si="16"/>
        <v>0</v>
      </c>
      <c r="AK52" s="88">
        <f t="shared" si="35"/>
        <v>1624815.390212547</v>
      </c>
      <c r="AL52" s="89">
        <f t="shared" si="35"/>
        <v>0</v>
      </c>
      <c r="AM52" s="89">
        <f t="shared" si="35"/>
        <v>0</v>
      </c>
      <c r="AN52" s="89">
        <f t="shared" si="35"/>
        <v>0</v>
      </c>
      <c r="AO52" s="89">
        <f t="shared" si="35"/>
        <v>0</v>
      </c>
      <c r="AP52" s="90">
        <f t="shared" si="9"/>
        <v>1624815.390212547</v>
      </c>
      <c r="AQ52" s="18">
        <f t="shared" si="6"/>
        <v>0</v>
      </c>
      <c r="AR52" s="66"/>
      <c r="AS52" s="208" t="s">
        <v>41</v>
      </c>
      <c r="AT52" s="16"/>
      <c r="AU52" s="16"/>
      <c r="AV52" s="16"/>
      <c r="AW52" s="16"/>
      <c r="AX52" s="16"/>
      <c r="AY52" s="16"/>
      <c r="AZ52" s="16"/>
      <c r="BA52" s="14"/>
    </row>
    <row r="53" spans="1:53" x14ac:dyDescent="0.35">
      <c r="A53" s="13"/>
      <c r="B53" s="215">
        <v>49</v>
      </c>
      <c r="C53" s="112" t="s">
        <v>166</v>
      </c>
      <c r="D53" s="72" t="s">
        <v>92</v>
      </c>
      <c r="E53" s="72" t="s">
        <v>167</v>
      </c>
      <c r="F53" s="73" t="s">
        <v>165</v>
      </c>
      <c r="G53" s="74">
        <v>45160</v>
      </c>
      <c r="H53" s="74">
        <v>45890</v>
      </c>
      <c r="I53" s="74">
        <v>45214</v>
      </c>
      <c r="J53" s="74">
        <v>45915</v>
      </c>
      <c r="K53" s="75">
        <v>0.15</v>
      </c>
      <c r="L53" s="73">
        <v>24</v>
      </c>
      <c r="M53" s="73">
        <v>24</v>
      </c>
      <c r="N53" s="112">
        <f t="shared" si="36"/>
        <v>0</v>
      </c>
      <c r="O53" s="76">
        <v>15225.713702194616</v>
      </c>
      <c r="P53" s="76">
        <v>314018.69</v>
      </c>
      <c r="Q53" s="76">
        <v>51398.438852670784</v>
      </c>
      <c r="R53" s="76">
        <v>365417.1288526709</v>
      </c>
      <c r="S53" s="77">
        <f>R53-T53</f>
        <v>0</v>
      </c>
      <c r="T53" s="113">
        <f>+M53*O53</f>
        <v>365417.12885267078</v>
      </c>
      <c r="U53" s="77"/>
      <c r="V53" s="76"/>
      <c r="W53" s="77">
        <f t="shared" si="27"/>
        <v>0</v>
      </c>
      <c r="X53" s="81">
        <f t="shared" si="21"/>
        <v>0</v>
      </c>
      <c r="Y53" s="82">
        <f t="shared" si="7"/>
        <v>0</v>
      </c>
      <c r="Z53" s="83">
        <f t="shared" si="37"/>
        <v>0</v>
      </c>
      <c r="AA53" s="84"/>
      <c r="AB53" s="84"/>
      <c r="AC53" s="84"/>
      <c r="AD53" s="84"/>
      <c r="AE53" s="85">
        <f t="shared" si="39"/>
        <v>0</v>
      </c>
      <c r="AF53" s="18">
        <f t="shared" si="11"/>
        <v>0</v>
      </c>
      <c r="AG53" s="76">
        <f t="shared" si="34"/>
        <v>365417.1288526709</v>
      </c>
      <c r="AH53" s="86">
        <f t="shared" si="34"/>
        <v>0</v>
      </c>
      <c r="AI53" s="61">
        <f t="shared" si="16"/>
        <v>0</v>
      </c>
      <c r="AJ53" s="87">
        <f t="shared" si="16"/>
        <v>0</v>
      </c>
      <c r="AK53" s="88">
        <f t="shared" si="35"/>
        <v>0</v>
      </c>
      <c r="AL53" s="89">
        <f t="shared" si="35"/>
        <v>0</v>
      </c>
      <c r="AM53" s="89">
        <f t="shared" si="35"/>
        <v>0</v>
      </c>
      <c r="AN53" s="89">
        <f t="shared" si="35"/>
        <v>0</v>
      </c>
      <c r="AO53" s="89">
        <f t="shared" si="35"/>
        <v>0</v>
      </c>
      <c r="AP53" s="90">
        <f t="shared" si="9"/>
        <v>0</v>
      </c>
      <c r="AQ53" s="18">
        <f t="shared" si="6"/>
        <v>0</v>
      </c>
      <c r="AR53" s="66">
        <v>15</v>
      </c>
      <c r="AS53" s="208" t="s">
        <v>41</v>
      </c>
      <c r="AT53" s="16"/>
      <c r="AU53" s="16"/>
      <c r="AV53" s="16"/>
      <c r="AW53" s="16"/>
      <c r="AX53" s="16"/>
      <c r="AY53" s="16"/>
      <c r="AZ53" s="16"/>
      <c r="BA53" s="14"/>
    </row>
    <row r="54" spans="1:53" ht="18.75" thickBot="1" x14ac:dyDescent="0.4">
      <c r="A54" s="13"/>
      <c r="B54" s="216"/>
      <c r="C54" s="114"/>
      <c r="D54" s="115"/>
      <c r="E54" s="115"/>
      <c r="F54" s="114"/>
      <c r="G54" s="114"/>
      <c r="H54" s="114"/>
      <c r="I54" s="114"/>
      <c r="J54" s="114"/>
      <c r="K54" s="114"/>
      <c r="L54" s="114"/>
      <c r="M54" s="114"/>
      <c r="N54" s="117"/>
      <c r="O54" s="116"/>
      <c r="P54" s="118"/>
      <c r="Q54" s="118"/>
      <c r="R54" s="116"/>
      <c r="S54" s="116"/>
      <c r="T54" s="119"/>
      <c r="U54" s="116"/>
      <c r="V54" s="116"/>
      <c r="W54" s="116"/>
      <c r="X54" s="120"/>
      <c r="Y54" s="121"/>
      <c r="Z54" s="122"/>
      <c r="AA54" s="123"/>
      <c r="AB54" s="123"/>
      <c r="AC54" s="123"/>
      <c r="AD54" s="123"/>
      <c r="AE54" s="124"/>
      <c r="AF54" s="18">
        <f t="shared" si="11"/>
        <v>0</v>
      </c>
      <c r="AG54" s="76">
        <f>+R54*1.07</f>
        <v>0</v>
      </c>
      <c r="AH54" s="125"/>
      <c r="AI54" s="116"/>
      <c r="AJ54" s="126"/>
      <c r="AK54" s="127"/>
      <c r="AL54" s="128"/>
      <c r="AM54" s="128"/>
      <c r="AN54" s="128"/>
      <c r="AO54" s="128"/>
      <c r="AP54" s="129"/>
      <c r="AQ54" s="18">
        <f t="shared" si="6"/>
        <v>0</v>
      </c>
      <c r="AR54" s="66"/>
      <c r="AS54" s="208"/>
      <c r="AT54" s="16"/>
      <c r="AU54" s="16"/>
      <c r="AV54" s="16"/>
      <c r="AW54" s="16"/>
      <c r="AX54" s="16"/>
      <c r="AY54" s="16"/>
      <c r="AZ54" s="16"/>
      <c r="BA54" s="14"/>
    </row>
    <row r="55" spans="1:53" ht="18.75" thickBot="1" x14ac:dyDescent="0.4">
      <c r="A55" s="13"/>
      <c r="B55" s="217"/>
      <c r="C55" s="130"/>
      <c r="D55" s="131"/>
      <c r="E55" s="132" t="s">
        <v>168</v>
      </c>
      <c r="F55" s="130"/>
      <c r="G55" s="130"/>
      <c r="H55" s="130"/>
      <c r="I55" s="130"/>
      <c r="J55" s="130"/>
      <c r="K55" s="130"/>
      <c r="L55" s="130"/>
      <c r="M55" s="130"/>
      <c r="N55" s="134"/>
      <c r="O55" s="133"/>
      <c r="P55" s="135">
        <f t="shared" ref="P55:AE55" si="40">SUM(P5:P54)</f>
        <v>243475895.47149876</v>
      </c>
      <c r="Q55" s="135">
        <f t="shared" si="40"/>
        <v>83583403.749538139</v>
      </c>
      <c r="R55" s="135">
        <f t="shared" si="40"/>
        <v>308059299.22103685</v>
      </c>
      <c r="S55" s="135">
        <f t="shared" si="40"/>
        <v>224968241.66539446</v>
      </c>
      <c r="T55" s="136">
        <f t="shared" si="40"/>
        <v>89720027.50275436</v>
      </c>
      <c r="U55" s="135">
        <f t="shared" ca="1" si="40"/>
        <v>6765</v>
      </c>
      <c r="V55" s="135">
        <f t="shared" si="40"/>
        <v>31958705.735545319</v>
      </c>
      <c r="W55" s="135">
        <f t="shared" si="40"/>
        <v>193009535.76984915</v>
      </c>
      <c r="X55" s="135">
        <f t="shared" si="40"/>
        <v>179052925.39761138</v>
      </c>
      <c r="Y55" s="137">
        <f t="shared" si="40"/>
        <v>18578062.915428907</v>
      </c>
      <c r="Z55" s="138">
        <f t="shared" si="40"/>
        <v>194307634.32173929</v>
      </c>
      <c r="AA55" s="139">
        <f t="shared" si="40"/>
        <v>2884999.1133109815</v>
      </c>
      <c r="AB55" s="140">
        <f t="shared" si="40"/>
        <v>2406308.5960945198</v>
      </c>
      <c r="AC55" s="139">
        <f t="shared" si="40"/>
        <v>2271720.9233167423</v>
      </c>
      <c r="AD55" s="140">
        <f t="shared" si="40"/>
        <v>23097578.71093294</v>
      </c>
      <c r="AE55" s="139">
        <f t="shared" si="40"/>
        <v>224968241.66539446</v>
      </c>
      <c r="AF55" s="210">
        <f>+AE55-S55</f>
        <v>0</v>
      </c>
      <c r="AG55" s="209">
        <f>SUM(AG5:AG54)</f>
        <v>327485890.46873754</v>
      </c>
      <c r="AH55" s="137">
        <f>SUM(AH5:AH54)</f>
        <v>238949450.37353161</v>
      </c>
      <c r="AI55" s="137"/>
      <c r="AJ55" s="137">
        <f t="shared" ref="AJ55" si="41">SUM(AJ5:AJ54)</f>
        <v>33510820.635917906</v>
      </c>
      <c r="AK55" s="141">
        <f>SUM(AK5:AK54)</f>
        <v>206827595.01693618</v>
      </c>
      <c r="AL55" s="135">
        <f>SUM(AL5:AL54)</f>
        <v>3071028.1021271641</v>
      </c>
      <c r="AM55" s="135">
        <f>SUM(AM5:AM54)</f>
        <v>2567734.3311544703</v>
      </c>
      <c r="AN55" s="135">
        <f>SUM(AN5:AN54)</f>
        <v>2403986.6412822474</v>
      </c>
      <c r="AO55" s="135">
        <f>SUM(AO5:AO54)</f>
        <v>24079106.282031581</v>
      </c>
      <c r="AP55" s="142">
        <f>SUM(AP5:AP54)+0.01</f>
        <v>238949450.3835316</v>
      </c>
      <c r="AQ55" s="16"/>
      <c r="AR55" s="66"/>
      <c r="AS55" s="208"/>
      <c r="AT55" s="16"/>
      <c r="AU55" s="16"/>
      <c r="AV55" s="16"/>
      <c r="AW55" s="16"/>
      <c r="AX55" s="16"/>
      <c r="AY55" s="16"/>
      <c r="AZ55" s="16"/>
      <c r="BA55" s="14"/>
    </row>
    <row r="56" spans="1:53" x14ac:dyDescent="0.35">
      <c r="A56" s="13"/>
      <c r="B56" s="22"/>
      <c r="C56" s="14"/>
      <c r="D56" s="15"/>
      <c r="E56" s="15"/>
      <c r="F56" s="14"/>
      <c r="G56" s="14"/>
      <c r="H56" s="14"/>
      <c r="I56" s="14"/>
      <c r="J56" s="14"/>
      <c r="K56" s="14"/>
      <c r="L56" s="14"/>
      <c r="M56" s="14"/>
      <c r="N56" s="17"/>
      <c r="O56" s="16"/>
      <c r="P56" s="16"/>
      <c r="Q56" s="143"/>
      <c r="R56" s="144"/>
      <c r="S56" s="144"/>
      <c r="T56" s="145"/>
      <c r="U56" s="144"/>
      <c r="V56" s="144"/>
      <c r="W56" s="144"/>
      <c r="X56" s="146"/>
      <c r="Y56" s="146"/>
      <c r="Z56" s="20"/>
      <c r="AA56" s="16"/>
      <c r="AB56" s="16"/>
      <c r="AC56" s="16"/>
      <c r="AD56" s="20"/>
      <c r="AE56" s="16"/>
      <c r="AF56" s="16"/>
      <c r="AG56" s="144"/>
      <c r="AH56" s="144"/>
      <c r="AI56" s="144"/>
      <c r="AJ56" s="144"/>
      <c r="AK56" s="16"/>
      <c r="AL56" s="16"/>
      <c r="AM56" s="16"/>
      <c r="AN56" s="16"/>
      <c r="AO56" s="16"/>
      <c r="AP56" s="16"/>
      <c r="AQ56" s="16"/>
      <c r="AR56" s="21"/>
      <c r="AS56" s="14"/>
      <c r="AT56" s="16"/>
      <c r="AU56" s="16"/>
      <c r="AV56" s="16"/>
      <c r="AW56" s="16"/>
      <c r="AX56" s="16"/>
      <c r="AY56" s="16"/>
      <c r="AZ56" s="16"/>
      <c r="BA56" s="14"/>
    </row>
    <row r="57" spans="1:53" x14ac:dyDescent="0.35">
      <c r="A57" s="13"/>
      <c r="B57" s="22" t="s">
        <v>169</v>
      </c>
      <c r="C57" s="17"/>
      <c r="D57" s="147"/>
      <c r="E57" s="147"/>
      <c r="F57" s="17"/>
      <c r="G57" s="17"/>
      <c r="H57" s="17"/>
      <c r="I57" s="17"/>
      <c r="J57" s="17"/>
      <c r="K57" s="17"/>
      <c r="L57" s="17"/>
      <c r="M57" s="17"/>
      <c r="N57" s="17"/>
      <c r="O57" s="13"/>
      <c r="P57" s="13"/>
      <c r="Q57" s="13"/>
      <c r="R57" s="13"/>
      <c r="S57" s="13"/>
      <c r="T57" s="13"/>
      <c r="U57" s="13" t="s">
        <v>219</v>
      </c>
      <c r="V57" s="148">
        <f>+V55/S55</f>
        <v>0.14205874348735392</v>
      </c>
      <c r="W57" s="13"/>
      <c r="X57" s="149"/>
      <c r="Y57" s="149"/>
      <c r="Z57" s="150">
        <f>+Z55/$AE$55</f>
        <v>0.86371139714352174</v>
      </c>
      <c r="AA57" s="148">
        <f t="shared" ref="AA57:AF57" si="42">+AA55/$AE$55</f>
        <v>1.2824028369310778E-2</v>
      </c>
      <c r="AB57" s="151">
        <f t="shared" si="42"/>
        <v>1.0696214622477836E-2</v>
      </c>
      <c r="AC57" s="152">
        <f t="shared" si="42"/>
        <v>1.0097962745762029E-2</v>
      </c>
      <c r="AD57" s="153">
        <f t="shared" si="42"/>
        <v>0.10267039711892768</v>
      </c>
      <c r="AE57" s="154">
        <f t="shared" si="42"/>
        <v>1</v>
      </c>
      <c r="AF57" s="154">
        <f t="shared" si="42"/>
        <v>0</v>
      </c>
      <c r="AG57" s="13"/>
      <c r="AH57" s="13"/>
      <c r="AI57" s="13"/>
      <c r="AJ57" s="154">
        <f>+AJ55/AH55</f>
        <v>0.14024230055157261</v>
      </c>
      <c r="AK57" s="13"/>
      <c r="AL57" s="13"/>
      <c r="AM57" s="13"/>
      <c r="AN57" s="13"/>
      <c r="AO57" s="13"/>
      <c r="AP57" s="13"/>
      <c r="AQ57" s="13"/>
      <c r="AR57" s="155"/>
      <c r="AS57" s="17"/>
      <c r="AT57" s="16"/>
      <c r="AU57" s="13"/>
      <c r="AV57" s="13"/>
      <c r="AW57" s="13"/>
      <c r="AX57" s="13"/>
      <c r="AY57" s="13"/>
      <c r="AZ57" s="13"/>
      <c r="BA57" s="17"/>
    </row>
    <row r="58" spans="1:53" x14ac:dyDescent="0.35">
      <c r="A58" s="13"/>
      <c r="B58" s="22"/>
      <c r="C58" s="17"/>
      <c r="D58" s="147"/>
      <c r="E58" s="147"/>
      <c r="F58" s="17"/>
      <c r="G58" s="17"/>
      <c r="H58" s="156"/>
      <c r="I58" s="17"/>
      <c r="J58" s="17"/>
      <c r="K58" s="17"/>
      <c r="L58" s="17"/>
      <c r="M58" s="17"/>
      <c r="N58" s="17"/>
      <c r="O58" s="13"/>
      <c r="P58" s="13"/>
      <c r="Q58" s="13"/>
      <c r="R58" s="157"/>
      <c r="S58" s="13"/>
      <c r="T58" s="13"/>
      <c r="U58" s="13"/>
      <c r="V58" s="158"/>
      <c r="W58" s="13"/>
      <c r="X58" s="149"/>
      <c r="Y58" s="149"/>
      <c r="Z58" s="159"/>
      <c r="AA58" s="13"/>
      <c r="AB58" s="13"/>
      <c r="AC58" s="13"/>
      <c r="AD58" s="159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55"/>
      <c r="AS58" s="17"/>
      <c r="AT58" s="16"/>
      <c r="AU58" s="13"/>
      <c r="AV58" s="13"/>
      <c r="AW58" s="13"/>
      <c r="AX58" s="13"/>
      <c r="AY58" s="13"/>
      <c r="AZ58" s="13"/>
      <c r="BA58" s="17"/>
    </row>
    <row r="59" spans="1:53" x14ac:dyDescent="0.35">
      <c r="A59" s="13"/>
      <c r="B59" s="22"/>
      <c r="C59" s="17"/>
      <c r="D59" s="147"/>
      <c r="E59" s="147"/>
      <c r="F59" s="17"/>
      <c r="G59" s="17"/>
      <c r="H59" s="17"/>
      <c r="I59" s="17"/>
      <c r="J59" s="17"/>
      <c r="K59" s="17"/>
      <c r="L59" s="17"/>
      <c r="M59" s="17"/>
      <c r="N59" s="17"/>
      <c r="O59" s="13"/>
      <c r="P59" s="13"/>
      <c r="Q59" s="13"/>
      <c r="R59" s="157"/>
      <c r="S59" s="13"/>
      <c r="T59" s="13"/>
      <c r="U59" s="13"/>
      <c r="V59" s="158"/>
      <c r="W59" s="13"/>
      <c r="X59" s="149"/>
      <c r="Y59" s="149"/>
      <c r="Z59" s="159"/>
      <c r="AA59" s="13"/>
      <c r="AB59" s="13"/>
      <c r="AC59" s="13"/>
      <c r="AD59" s="159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55"/>
      <c r="AS59" s="17"/>
      <c r="AT59" s="16"/>
      <c r="AU59" s="13"/>
      <c r="AV59" s="13"/>
      <c r="AW59" s="13"/>
      <c r="AX59" s="13"/>
      <c r="AY59" s="13"/>
      <c r="AZ59" s="13"/>
      <c r="BA59" s="17"/>
    </row>
    <row r="60" spans="1:53" x14ac:dyDescent="0.35">
      <c r="A60" s="13"/>
      <c r="B60" s="22"/>
      <c r="C60" s="17"/>
      <c r="D60" s="147"/>
      <c r="E60" s="147"/>
      <c r="F60" s="17"/>
      <c r="G60" s="17"/>
      <c r="H60" s="17"/>
      <c r="I60" s="17"/>
      <c r="J60" s="17"/>
      <c r="K60" s="17"/>
      <c r="L60" s="17"/>
      <c r="M60" s="17"/>
      <c r="N60" s="17"/>
      <c r="O60" s="13"/>
      <c r="P60" s="13"/>
      <c r="Q60" s="13"/>
      <c r="R60" s="157">
        <f>+R58-R59</f>
        <v>0</v>
      </c>
      <c r="S60" s="13"/>
      <c r="T60" s="13"/>
      <c r="U60" s="13"/>
      <c r="V60" s="158"/>
      <c r="W60" s="13"/>
      <c r="X60" s="149"/>
      <c r="Y60" s="149"/>
      <c r="Z60" s="159"/>
      <c r="AA60" s="13"/>
      <c r="AB60" s="13"/>
      <c r="AC60" s="13"/>
      <c r="AD60" s="159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55"/>
      <c r="AS60" s="17"/>
      <c r="AT60" s="16"/>
      <c r="AU60" s="13"/>
      <c r="AV60" s="13"/>
      <c r="AW60" s="13"/>
      <c r="AX60" s="13"/>
      <c r="AY60" s="13"/>
      <c r="AZ60" s="13"/>
      <c r="BA60" s="17"/>
    </row>
  </sheetData>
  <mergeCells count="1">
    <mergeCell ref="AU4:B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30D3-BFE7-4549-9BC7-FB85F584B695}">
  <dimension ref="A1:AT16"/>
  <sheetViews>
    <sheetView zoomScale="120" zoomScaleNormal="120" workbookViewId="0">
      <selection activeCell="B16" sqref="B16"/>
    </sheetView>
  </sheetViews>
  <sheetFormatPr defaultRowHeight="15" x14ac:dyDescent="0.25"/>
  <cols>
    <col min="2" max="2" width="26.42578125" style="230" customWidth="1"/>
    <col min="3" max="3" width="7.5703125" customWidth="1"/>
    <col min="4" max="4" width="13.5703125" customWidth="1"/>
    <col min="5" max="5" width="15.5703125" customWidth="1"/>
    <col min="6" max="6" width="15.28515625" customWidth="1"/>
    <col min="7" max="7" width="16.140625" customWidth="1"/>
    <col min="8" max="8" width="12.85546875" customWidth="1"/>
    <col min="9" max="9" width="13.5703125" customWidth="1"/>
    <col min="11" max="14" width="11.85546875" customWidth="1"/>
    <col min="16" max="17" width="12.5703125" customWidth="1"/>
    <col min="18" max="18" width="9.85546875" customWidth="1"/>
    <col min="19" max="24" width="13" customWidth="1"/>
    <col min="25" max="40" width="14.7109375" customWidth="1"/>
    <col min="42" max="42" width="14.85546875" customWidth="1"/>
    <col min="43" max="43" width="24.42578125" customWidth="1"/>
    <col min="44" max="44" width="14.85546875" customWidth="1"/>
  </cols>
  <sheetData>
    <row r="1" spans="1:46" ht="21.75" x14ac:dyDescent="0.5">
      <c r="A1" s="232" t="s">
        <v>170</v>
      </c>
      <c r="B1" s="227"/>
      <c r="C1" s="160"/>
      <c r="D1" s="160"/>
      <c r="E1" s="160"/>
      <c r="F1" s="161"/>
      <c r="G1" s="161"/>
      <c r="H1" s="161"/>
      <c r="I1" s="161"/>
      <c r="J1" s="160"/>
      <c r="K1" s="161"/>
      <c r="L1" s="161"/>
      <c r="M1" s="161"/>
      <c r="N1" s="161"/>
      <c r="O1" s="160"/>
      <c r="P1" s="163"/>
      <c r="Q1" s="164"/>
      <c r="R1" s="162"/>
      <c r="S1" s="163"/>
      <c r="T1" s="163"/>
      <c r="U1" s="163"/>
      <c r="V1" s="163"/>
      <c r="W1" s="163"/>
      <c r="X1" s="163"/>
      <c r="Y1" s="164"/>
      <c r="Z1" s="164"/>
      <c r="AA1" s="164"/>
      <c r="AB1" s="164"/>
      <c r="AC1" s="164"/>
      <c r="AD1" s="164"/>
      <c r="AE1" s="164"/>
      <c r="AF1" s="165" t="s">
        <v>171</v>
      </c>
      <c r="AG1" s="166"/>
      <c r="AH1" s="166"/>
      <c r="AI1" s="166"/>
      <c r="AJ1" s="166"/>
      <c r="AK1" s="166"/>
      <c r="AL1" s="166"/>
      <c r="AM1" s="166"/>
      <c r="AN1" s="166"/>
      <c r="AO1" s="162"/>
      <c r="AP1" s="256" t="s">
        <v>172</v>
      </c>
      <c r="AQ1" s="257"/>
      <c r="AR1" s="167" t="s">
        <v>171</v>
      </c>
      <c r="AS1" s="162"/>
      <c r="AT1" s="162"/>
    </row>
    <row r="2" spans="1:46" ht="21" x14ac:dyDescent="0.45">
      <c r="A2" s="168" t="s">
        <v>173</v>
      </c>
      <c r="B2" s="169" t="s">
        <v>174</v>
      </c>
      <c r="C2" s="168" t="s">
        <v>175</v>
      </c>
      <c r="D2" s="168" t="s">
        <v>176</v>
      </c>
      <c r="E2" s="168" t="s">
        <v>177</v>
      </c>
      <c r="F2" s="170" t="s">
        <v>178</v>
      </c>
      <c r="G2" s="170" t="s">
        <v>179</v>
      </c>
      <c r="H2" s="170" t="s">
        <v>180</v>
      </c>
      <c r="I2" s="170" t="s">
        <v>181</v>
      </c>
      <c r="J2" s="168" t="s">
        <v>182</v>
      </c>
      <c r="K2" s="170" t="s">
        <v>183</v>
      </c>
      <c r="L2" s="170" t="s">
        <v>184</v>
      </c>
      <c r="M2" s="170" t="s">
        <v>185</v>
      </c>
      <c r="N2" s="170" t="s">
        <v>186</v>
      </c>
      <c r="O2" s="168" t="s">
        <v>187</v>
      </c>
      <c r="P2" s="172" t="s">
        <v>188</v>
      </c>
      <c r="Q2" s="238" t="s">
        <v>189</v>
      </c>
      <c r="R2" s="171"/>
      <c r="S2" s="241" t="s">
        <v>190</v>
      </c>
      <c r="T2" s="172" t="s">
        <v>191</v>
      </c>
      <c r="U2" s="173" t="s">
        <v>183</v>
      </c>
      <c r="V2" s="173" t="s">
        <v>184</v>
      </c>
      <c r="W2" s="173" t="s">
        <v>185</v>
      </c>
      <c r="X2" s="173" t="s">
        <v>186</v>
      </c>
      <c r="Y2" s="174" t="s">
        <v>192</v>
      </c>
      <c r="Z2" s="174" t="s">
        <v>193</v>
      </c>
      <c r="AA2" s="175" t="s">
        <v>183</v>
      </c>
      <c r="AB2" s="175" t="s">
        <v>184</v>
      </c>
      <c r="AC2" s="175" t="s">
        <v>185</v>
      </c>
      <c r="AD2" s="175" t="s">
        <v>186</v>
      </c>
      <c r="AE2" s="174" t="s">
        <v>194</v>
      </c>
      <c r="AF2" s="174" t="s">
        <v>195</v>
      </c>
      <c r="AG2" s="176" t="s">
        <v>196</v>
      </c>
      <c r="AH2" s="176" t="s">
        <v>197</v>
      </c>
      <c r="AI2" s="176" t="s">
        <v>198</v>
      </c>
      <c r="AJ2" s="176" t="s">
        <v>199</v>
      </c>
      <c r="AK2" s="176" t="s">
        <v>200</v>
      </c>
      <c r="AL2" s="176" t="s">
        <v>201</v>
      </c>
      <c r="AM2" s="176" t="s">
        <v>202</v>
      </c>
      <c r="AN2" s="176" t="s">
        <v>203</v>
      </c>
      <c r="AO2" s="177"/>
      <c r="AP2" s="167" t="s">
        <v>173</v>
      </c>
      <c r="AQ2" s="167" t="s">
        <v>174</v>
      </c>
      <c r="AR2" s="178" t="s">
        <v>204</v>
      </c>
      <c r="AS2" s="177"/>
      <c r="AT2" s="177"/>
    </row>
    <row r="3" spans="1:46" ht="21.75" x14ac:dyDescent="0.5">
      <c r="A3" s="179">
        <v>1</v>
      </c>
      <c r="B3" s="228" t="s">
        <v>135</v>
      </c>
      <c r="C3" s="179">
        <v>1</v>
      </c>
      <c r="D3" s="179" t="s">
        <v>40</v>
      </c>
      <c r="E3" s="179" t="s">
        <v>205</v>
      </c>
      <c r="F3" s="180">
        <v>28766950</v>
      </c>
      <c r="G3" s="180">
        <v>8630085</v>
      </c>
      <c r="H3" s="181">
        <v>20136865</v>
      </c>
      <c r="I3" s="180">
        <v>18819500</v>
      </c>
      <c r="J3" s="182">
        <v>9.2499999999999999E-2</v>
      </c>
      <c r="K3" s="180">
        <v>574739.68999999994</v>
      </c>
      <c r="L3" s="183">
        <v>392072.91666666669</v>
      </c>
      <c r="M3" s="183">
        <v>145066.97916666666</v>
      </c>
      <c r="N3" s="183">
        <v>37599.792708333342</v>
      </c>
      <c r="O3" s="179">
        <v>48</v>
      </c>
      <c r="P3" s="236">
        <v>0.3</v>
      </c>
      <c r="Q3" s="239">
        <v>0.7</v>
      </c>
      <c r="R3" s="184"/>
      <c r="S3" s="242">
        <v>6041059.5</v>
      </c>
      <c r="T3" s="185">
        <v>5645850</v>
      </c>
      <c r="U3" s="185">
        <v>172421.90656249999</v>
      </c>
      <c r="V3" s="185">
        <v>117621.875</v>
      </c>
      <c r="W3" s="185">
        <v>43520.09375</v>
      </c>
      <c r="X3" s="185">
        <v>11279.9378125</v>
      </c>
      <c r="Y3" s="186">
        <v>14095805.5</v>
      </c>
      <c r="Z3" s="187">
        <v>13173650</v>
      </c>
      <c r="AA3" s="187">
        <v>402317.78197916673</v>
      </c>
      <c r="AB3" s="187">
        <v>274451.04166666669</v>
      </c>
      <c r="AC3" s="187">
        <v>101546.88541666667</v>
      </c>
      <c r="AD3" s="187">
        <v>26319.854895833338</v>
      </c>
      <c r="AE3" s="188">
        <v>45925</v>
      </c>
      <c r="AF3" s="189">
        <v>8</v>
      </c>
      <c r="AG3" s="187">
        <v>3218542.2558333338</v>
      </c>
      <c r="AH3" s="187">
        <v>2195608.3333333335</v>
      </c>
      <c r="AI3" s="187">
        <v>812375.08333333337</v>
      </c>
      <c r="AJ3" s="187">
        <v>210558.8391666667</v>
      </c>
      <c r="AK3" s="187">
        <v>10978041.666666666</v>
      </c>
      <c r="AL3" s="187">
        <v>4061875.4166666665</v>
      </c>
      <c r="AM3" s="187">
        <v>1052794.1958333335</v>
      </c>
      <c r="AN3" s="186">
        <v>16092711.279166665</v>
      </c>
      <c r="AO3" s="162"/>
      <c r="AP3" s="190">
        <v>1</v>
      </c>
      <c r="AQ3" s="191" t="s">
        <v>135</v>
      </c>
      <c r="AR3" s="192">
        <v>16092711.279166665</v>
      </c>
      <c r="AS3" s="162"/>
      <c r="AT3" s="162"/>
    </row>
    <row r="4" spans="1:46" ht="21.75" x14ac:dyDescent="0.5">
      <c r="A4" s="179">
        <v>2</v>
      </c>
      <c r="B4" s="228" t="s">
        <v>135</v>
      </c>
      <c r="C4" s="179">
        <v>2</v>
      </c>
      <c r="D4" s="179" t="s">
        <v>40</v>
      </c>
      <c r="E4" s="179" t="s">
        <v>206</v>
      </c>
      <c r="F4" s="183">
        <v>16050000</v>
      </c>
      <c r="G4" s="183">
        <v>4815000</v>
      </c>
      <c r="H4" s="193">
        <v>11235000</v>
      </c>
      <c r="I4" s="180">
        <v>10500000</v>
      </c>
      <c r="J4" s="182">
        <v>9.2499999999999999E-2</v>
      </c>
      <c r="K4" s="183">
        <v>320665.63</v>
      </c>
      <c r="L4" s="183">
        <v>218750</v>
      </c>
      <c r="M4" s="183">
        <v>80937.5</v>
      </c>
      <c r="N4" s="183">
        <v>20978.125000000004</v>
      </c>
      <c r="O4" s="179">
        <v>48</v>
      </c>
      <c r="P4" s="236">
        <v>0.3</v>
      </c>
      <c r="Q4" s="239">
        <v>0.7</v>
      </c>
      <c r="R4" s="184"/>
      <c r="S4" s="242">
        <v>3370500</v>
      </c>
      <c r="T4" s="185">
        <v>3150000</v>
      </c>
      <c r="U4" s="185">
        <v>96199.6875</v>
      </c>
      <c r="V4" s="185">
        <v>65625</v>
      </c>
      <c r="W4" s="185">
        <v>24281.25</v>
      </c>
      <c r="X4" s="185">
        <v>6293.4375000000009</v>
      </c>
      <c r="Y4" s="186">
        <v>7864499.9999999991</v>
      </c>
      <c r="Z4" s="187">
        <v>7349999.9999999991</v>
      </c>
      <c r="AA4" s="187">
        <v>224465.93749999997</v>
      </c>
      <c r="AB4" s="187">
        <v>153124.99999999997</v>
      </c>
      <c r="AC4" s="187">
        <v>56656.249999999993</v>
      </c>
      <c r="AD4" s="187">
        <v>14684.6875</v>
      </c>
      <c r="AE4" s="188">
        <v>45925</v>
      </c>
      <c r="AF4" s="189">
        <v>4</v>
      </c>
      <c r="AG4" s="187">
        <v>897863.74999999988</v>
      </c>
      <c r="AH4" s="187">
        <v>612499.99999999988</v>
      </c>
      <c r="AI4" s="187">
        <v>226624.99999999997</v>
      </c>
      <c r="AJ4" s="187">
        <v>58738.75</v>
      </c>
      <c r="AK4" s="187">
        <v>6737499.9999999991</v>
      </c>
      <c r="AL4" s="187">
        <v>2492874.9999999995</v>
      </c>
      <c r="AM4" s="187">
        <v>646126.25</v>
      </c>
      <c r="AN4" s="186">
        <v>9876501.2499999981</v>
      </c>
      <c r="AO4" s="162"/>
      <c r="AP4" s="190">
        <v>2</v>
      </c>
      <c r="AQ4" s="191" t="s">
        <v>135</v>
      </c>
      <c r="AR4" s="192">
        <v>9876501.2499999981</v>
      </c>
      <c r="AS4" s="162"/>
      <c r="AT4" s="162"/>
    </row>
    <row r="5" spans="1:46" ht="21.75" x14ac:dyDescent="0.5">
      <c r="A5" s="179">
        <v>3</v>
      </c>
      <c r="B5" s="228" t="s">
        <v>135</v>
      </c>
      <c r="C5" s="179">
        <v>3</v>
      </c>
      <c r="D5" s="179" t="s">
        <v>207</v>
      </c>
      <c r="E5" s="179" t="s">
        <v>208</v>
      </c>
      <c r="F5" s="183"/>
      <c r="G5" s="183"/>
      <c r="H5" s="193">
        <v>30000000</v>
      </c>
      <c r="I5" s="180"/>
      <c r="J5" s="194">
        <v>0.15</v>
      </c>
      <c r="K5" s="183"/>
      <c r="L5" s="183"/>
      <c r="M5" s="183"/>
      <c r="N5" s="183"/>
      <c r="O5" s="179"/>
      <c r="P5" s="236">
        <v>0</v>
      </c>
      <c r="Q5" s="239">
        <v>1</v>
      </c>
      <c r="R5" s="184"/>
      <c r="S5" s="242"/>
      <c r="T5" s="185"/>
      <c r="U5" s="185"/>
      <c r="V5" s="185"/>
      <c r="W5" s="185"/>
      <c r="X5" s="185"/>
      <c r="Y5" s="186">
        <v>30000000</v>
      </c>
      <c r="Z5" s="187"/>
      <c r="AA5" s="187"/>
      <c r="AB5" s="187"/>
      <c r="AC5" s="187"/>
      <c r="AD5" s="187"/>
      <c r="AE5" s="188"/>
      <c r="AF5" s="189"/>
      <c r="AG5" s="187"/>
      <c r="AH5" s="187"/>
      <c r="AI5" s="187"/>
      <c r="AJ5" s="187"/>
      <c r="AK5" s="187"/>
      <c r="AL5" s="187"/>
      <c r="AM5" s="187"/>
      <c r="AN5" s="186">
        <v>11514959.739999993</v>
      </c>
      <c r="AO5" s="162"/>
      <c r="AP5" s="190">
        <v>3</v>
      </c>
      <c r="AQ5" s="191" t="s">
        <v>135</v>
      </c>
      <c r="AR5" s="192">
        <v>11514959.739999993</v>
      </c>
      <c r="AS5" s="162"/>
      <c r="AT5" s="162"/>
    </row>
    <row r="6" spans="1:46" ht="21.75" x14ac:dyDescent="0.5">
      <c r="A6" s="179">
        <v>4</v>
      </c>
      <c r="B6" s="228" t="s">
        <v>209</v>
      </c>
      <c r="C6" s="179">
        <v>1</v>
      </c>
      <c r="D6" s="179" t="s">
        <v>40</v>
      </c>
      <c r="E6" s="179" t="s">
        <v>210</v>
      </c>
      <c r="F6" s="183">
        <v>44231125</v>
      </c>
      <c r="G6" s="183">
        <v>13269337.5</v>
      </c>
      <c r="H6" s="181">
        <v>30961787.5</v>
      </c>
      <c r="I6" s="180">
        <v>28936250</v>
      </c>
      <c r="J6" s="194">
        <v>0.09</v>
      </c>
      <c r="K6" s="183">
        <v>877250.65</v>
      </c>
      <c r="L6" s="183">
        <v>602838.54166666663</v>
      </c>
      <c r="M6" s="183">
        <v>217021.875</v>
      </c>
      <c r="N6" s="183">
        <v>57390.229166666672</v>
      </c>
      <c r="O6" s="179">
        <v>48</v>
      </c>
      <c r="P6" s="237">
        <v>0.17499999999999999</v>
      </c>
      <c r="Q6" s="240">
        <v>0.82499999999999996</v>
      </c>
      <c r="R6" s="195"/>
      <c r="S6" s="242">
        <v>5418312.8125</v>
      </c>
      <c r="T6" s="185">
        <v>5063843.75</v>
      </c>
      <c r="U6" s="185">
        <v>153518.86302083335</v>
      </c>
      <c r="V6" s="185">
        <v>105496.74479166667</v>
      </c>
      <c r="W6" s="185">
        <v>37978.828125</v>
      </c>
      <c r="X6" s="185">
        <v>10043.290104166668</v>
      </c>
      <c r="Y6" s="186">
        <v>25543474.6875</v>
      </c>
      <c r="Z6" s="187">
        <v>23872406.25</v>
      </c>
      <c r="AA6" s="187">
        <v>723731.78281250002</v>
      </c>
      <c r="AB6" s="187">
        <v>497341.796875</v>
      </c>
      <c r="AC6" s="187">
        <v>179043.046875</v>
      </c>
      <c r="AD6" s="187">
        <v>47346.939062500001</v>
      </c>
      <c r="AE6" s="188">
        <v>45925</v>
      </c>
      <c r="AF6" s="189">
        <v>2</v>
      </c>
      <c r="AG6" s="187">
        <v>1447463.565625</v>
      </c>
      <c r="AH6" s="187">
        <v>994683.59375</v>
      </c>
      <c r="AI6" s="187">
        <v>358086.09375</v>
      </c>
      <c r="AJ6" s="187">
        <v>94693.878125000003</v>
      </c>
      <c r="AK6" s="187">
        <v>22877722.65625</v>
      </c>
      <c r="AL6" s="187">
        <v>8235980.15625</v>
      </c>
      <c r="AM6" s="187">
        <v>2177959.1968750004</v>
      </c>
      <c r="AN6" s="186">
        <v>33291662.009374999</v>
      </c>
      <c r="AO6" s="162"/>
      <c r="AP6" s="190">
        <v>4</v>
      </c>
      <c r="AQ6" s="191" t="s">
        <v>209</v>
      </c>
      <c r="AR6" s="192">
        <v>33291662.009374999</v>
      </c>
      <c r="AS6" s="162"/>
      <c r="AT6" s="162"/>
    </row>
    <row r="7" spans="1:46" ht="21.75" x14ac:dyDescent="0.5">
      <c r="A7" s="179">
        <v>5</v>
      </c>
      <c r="B7" s="228" t="s">
        <v>211</v>
      </c>
      <c r="C7" s="179">
        <v>1</v>
      </c>
      <c r="D7" s="179" t="s">
        <v>40</v>
      </c>
      <c r="E7" s="179" t="s">
        <v>212</v>
      </c>
      <c r="F7" s="183">
        <v>28275820</v>
      </c>
      <c r="G7" s="183">
        <v>5655164</v>
      </c>
      <c r="H7" s="181">
        <v>22620656</v>
      </c>
      <c r="I7" s="180">
        <v>21140800</v>
      </c>
      <c r="J7" s="194">
        <v>0.09</v>
      </c>
      <c r="K7" s="183">
        <v>640918.57999999996</v>
      </c>
      <c r="L7" s="183">
        <v>440433.33333333331</v>
      </c>
      <c r="M7" s="183">
        <v>158556</v>
      </c>
      <c r="N7" s="183">
        <v>41929.253333333334</v>
      </c>
      <c r="O7" s="179">
        <v>48</v>
      </c>
      <c r="P7" s="236">
        <v>0.4</v>
      </c>
      <c r="Q7" s="239">
        <v>0.6</v>
      </c>
      <c r="R7" s="184"/>
      <c r="S7" s="242">
        <v>9048262.4000000004</v>
      </c>
      <c r="T7" s="185">
        <v>8456320</v>
      </c>
      <c r="U7" s="185">
        <v>256367.43466666667</v>
      </c>
      <c r="V7" s="185">
        <v>176173.33333333334</v>
      </c>
      <c r="W7" s="185">
        <v>63422.399999999994</v>
      </c>
      <c r="X7" s="185">
        <v>16771.701333333334</v>
      </c>
      <c r="Y7" s="186">
        <v>13572393.6</v>
      </c>
      <c r="Z7" s="187">
        <v>12684479.999999998</v>
      </c>
      <c r="AA7" s="187">
        <v>384551.15199999989</v>
      </c>
      <c r="AB7" s="187">
        <v>264259.99999999994</v>
      </c>
      <c r="AC7" s="187">
        <v>95133.599999999977</v>
      </c>
      <c r="AD7" s="187">
        <v>25157.551999999996</v>
      </c>
      <c r="AE7" s="188">
        <v>45925</v>
      </c>
      <c r="AF7" s="189">
        <v>1</v>
      </c>
      <c r="AG7" s="187">
        <v>384551.15199999989</v>
      </c>
      <c r="AH7" s="187">
        <v>264259.99999999994</v>
      </c>
      <c r="AI7" s="187">
        <v>95133.599999999977</v>
      </c>
      <c r="AJ7" s="187">
        <v>25157.551999999996</v>
      </c>
      <c r="AK7" s="187">
        <v>12420219.999999998</v>
      </c>
      <c r="AL7" s="187">
        <v>4471279.1999999993</v>
      </c>
      <c r="AM7" s="187">
        <v>1182404.9439999999</v>
      </c>
      <c r="AN7" s="186">
        <v>18073904.143999994</v>
      </c>
      <c r="AO7" s="162"/>
      <c r="AP7" s="190">
        <v>5</v>
      </c>
      <c r="AQ7" s="191" t="s">
        <v>211</v>
      </c>
      <c r="AR7" s="192">
        <v>18073904.143999994</v>
      </c>
      <c r="AS7" s="162"/>
      <c r="AT7" s="162"/>
    </row>
    <row r="8" spans="1:46" ht="21.75" x14ac:dyDescent="0.5">
      <c r="A8" s="179">
        <v>6</v>
      </c>
      <c r="B8" s="228" t="s">
        <v>213</v>
      </c>
      <c r="C8" s="179">
        <v>1</v>
      </c>
      <c r="D8" s="179" t="s">
        <v>40</v>
      </c>
      <c r="E8" s="179" t="s">
        <v>151</v>
      </c>
      <c r="F8" s="183">
        <v>29400390</v>
      </c>
      <c r="G8" s="183">
        <v>5880078</v>
      </c>
      <c r="H8" s="181">
        <v>23520312</v>
      </c>
      <c r="I8" s="180">
        <v>21981600</v>
      </c>
      <c r="J8" s="194">
        <v>0.09</v>
      </c>
      <c r="K8" s="183">
        <v>666408.84</v>
      </c>
      <c r="L8" s="183">
        <v>457950</v>
      </c>
      <c r="M8" s="183">
        <v>164862</v>
      </c>
      <c r="N8" s="183">
        <v>43596.840000000004</v>
      </c>
      <c r="O8" s="179">
        <v>48</v>
      </c>
      <c r="P8" s="236">
        <v>0.15</v>
      </c>
      <c r="Q8" s="239">
        <v>0.85</v>
      </c>
      <c r="R8" s="184"/>
      <c r="S8" s="242">
        <v>3528046.8</v>
      </c>
      <c r="T8" s="185">
        <v>3297239.9999999995</v>
      </c>
      <c r="U8" s="185">
        <v>99961.325999999972</v>
      </c>
      <c r="V8" s="185">
        <v>68692.499999999985</v>
      </c>
      <c r="W8" s="185">
        <v>24729.299999999992</v>
      </c>
      <c r="X8" s="185">
        <v>6539.5259999999989</v>
      </c>
      <c r="Y8" s="186">
        <v>19992265.199999999</v>
      </c>
      <c r="Z8" s="187">
        <v>18684360</v>
      </c>
      <c r="AA8" s="187">
        <v>566447.51399999997</v>
      </c>
      <c r="AB8" s="187">
        <v>389257.5</v>
      </c>
      <c r="AC8" s="187">
        <v>140132.69999999998</v>
      </c>
      <c r="AD8" s="187">
        <v>37057.313999999998</v>
      </c>
      <c r="AE8" s="188">
        <v>45925</v>
      </c>
      <c r="AF8" s="189">
        <v>2</v>
      </c>
      <c r="AG8" s="187">
        <v>1132895.0279999999</v>
      </c>
      <c r="AH8" s="187">
        <v>778515</v>
      </c>
      <c r="AI8" s="187">
        <v>280265.39999999997</v>
      </c>
      <c r="AJ8" s="187">
        <v>74114.627999999997</v>
      </c>
      <c r="AK8" s="187">
        <v>17905845</v>
      </c>
      <c r="AL8" s="187">
        <v>6446104.1999999993</v>
      </c>
      <c r="AM8" s="187">
        <v>1704636.4439999999</v>
      </c>
      <c r="AN8" s="186">
        <v>26056585.643999998</v>
      </c>
      <c r="AO8" s="162"/>
      <c r="AP8" s="190">
        <v>6</v>
      </c>
      <c r="AQ8" s="191" t="s">
        <v>213</v>
      </c>
      <c r="AR8" s="192">
        <v>26056585.643999998</v>
      </c>
      <c r="AS8" s="162"/>
      <c r="AT8" s="162"/>
    </row>
    <row r="9" spans="1:46" ht="21.75" x14ac:dyDescent="0.5">
      <c r="A9" s="179">
        <v>7</v>
      </c>
      <c r="B9" s="228" t="s">
        <v>213</v>
      </c>
      <c r="C9" s="179">
        <v>2</v>
      </c>
      <c r="D9" s="179" t="s">
        <v>214</v>
      </c>
      <c r="E9" s="179" t="s">
        <v>153</v>
      </c>
      <c r="F9" s="183">
        <v>7754500</v>
      </c>
      <c r="G9" s="183">
        <v>1550900</v>
      </c>
      <c r="H9" s="181">
        <v>6203600</v>
      </c>
      <c r="I9" s="180">
        <v>5797757.0093457941</v>
      </c>
      <c r="J9" s="194">
        <v>0.09</v>
      </c>
      <c r="K9" s="183">
        <v>175768.67</v>
      </c>
      <c r="L9" s="183">
        <v>120786.60436137072</v>
      </c>
      <c r="M9" s="183">
        <v>43483.177570093452</v>
      </c>
      <c r="N9" s="183">
        <v>11498.884735202491</v>
      </c>
      <c r="O9" s="179">
        <v>48</v>
      </c>
      <c r="P9" s="236">
        <v>0.15</v>
      </c>
      <c r="Q9" s="239">
        <v>0.85</v>
      </c>
      <c r="R9" s="184"/>
      <c r="S9" s="242">
        <v>930540</v>
      </c>
      <c r="T9" s="185">
        <v>869663.55140186916</v>
      </c>
      <c r="U9" s="185">
        <v>26365.300000000003</v>
      </c>
      <c r="V9" s="185">
        <v>18117.990654205609</v>
      </c>
      <c r="W9" s="185">
        <v>6522.4766355140191</v>
      </c>
      <c r="X9" s="185">
        <v>1724.8327102803742</v>
      </c>
      <c r="Y9" s="186">
        <v>5273060</v>
      </c>
      <c r="Z9" s="187">
        <v>4928093.4579439247</v>
      </c>
      <c r="AA9" s="187">
        <v>149403.36666666667</v>
      </c>
      <c r="AB9" s="187">
        <v>102668.6137071651</v>
      </c>
      <c r="AC9" s="187">
        <v>36960.700934579436</v>
      </c>
      <c r="AD9" s="187">
        <v>9774.052024922119</v>
      </c>
      <c r="AE9" s="188">
        <v>45925</v>
      </c>
      <c r="AF9" s="189">
        <v>2</v>
      </c>
      <c r="AG9" s="187">
        <v>298806.73333333334</v>
      </c>
      <c r="AH9" s="187">
        <v>205337.22741433021</v>
      </c>
      <c r="AI9" s="187">
        <v>73921.401869158872</v>
      </c>
      <c r="AJ9" s="187">
        <v>19548.104049844238</v>
      </c>
      <c r="AK9" s="187">
        <v>4722756.2305295942</v>
      </c>
      <c r="AL9" s="187">
        <v>1700192.242990654</v>
      </c>
      <c r="AM9" s="187">
        <v>449606.39314641745</v>
      </c>
      <c r="AN9" s="186">
        <v>6872554.8666666653</v>
      </c>
      <c r="AO9" s="162"/>
      <c r="AP9" s="190">
        <v>7</v>
      </c>
      <c r="AQ9" s="191" t="s">
        <v>213</v>
      </c>
      <c r="AR9" s="192">
        <v>6872554.8666666653</v>
      </c>
      <c r="AS9" s="162"/>
      <c r="AT9" s="162"/>
    </row>
    <row r="10" spans="1:46" ht="21.75" x14ac:dyDescent="0.5">
      <c r="A10" s="179">
        <v>8</v>
      </c>
      <c r="B10" s="228" t="s">
        <v>215</v>
      </c>
      <c r="C10" s="179">
        <v>1</v>
      </c>
      <c r="D10" s="179" t="s">
        <v>40</v>
      </c>
      <c r="E10" s="179" t="s">
        <v>216</v>
      </c>
      <c r="F10" s="183">
        <v>16210500</v>
      </c>
      <c r="G10" s="183">
        <v>3242100</v>
      </c>
      <c r="H10" s="181">
        <v>12968400</v>
      </c>
      <c r="I10" s="180">
        <v>12120000</v>
      </c>
      <c r="J10" s="194">
        <v>0.09</v>
      </c>
      <c r="K10" s="183">
        <v>367438</v>
      </c>
      <c r="L10" s="183">
        <v>252500</v>
      </c>
      <c r="M10" s="183">
        <v>90900</v>
      </c>
      <c r="N10" s="183">
        <v>24038.000000000004</v>
      </c>
      <c r="O10" s="179">
        <v>48</v>
      </c>
      <c r="P10" s="236">
        <v>0.3</v>
      </c>
      <c r="Q10" s="239">
        <v>0.7</v>
      </c>
      <c r="R10" s="184"/>
      <c r="S10" s="242">
        <v>3890520</v>
      </c>
      <c r="T10" s="185">
        <v>3636000</v>
      </c>
      <c r="U10" s="185">
        <v>110231.4</v>
      </c>
      <c r="V10" s="185">
        <v>75750</v>
      </c>
      <c r="W10" s="185">
        <v>27270</v>
      </c>
      <c r="X10" s="185">
        <v>7211.4000000000005</v>
      </c>
      <c r="Y10" s="186">
        <v>9077880</v>
      </c>
      <c r="Z10" s="187">
        <v>8484000</v>
      </c>
      <c r="AA10" s="187">
        <v>257206.6</v>
      </c>
      <c r="AB10" s="187">
        <v>176750</v>
      </c>
      <c r="AC10" s="187">
        <v>63630</v>
      </c>
      <c r="AD10" s="187">
        <v>16826.600000000002</v>
      </c>
      <c r="AE10" s="188">
        <v>45925</v>
      </c>
      <c r="AF10" s="189">
        <v>0</v>
      </c>
      <c r="AG10" s="187">
        <v>0</v>
      </c>
      <c r="AH10" s="187">
        <v>0</v>
      </c>
      <c r="AI10" s="187">
        <v>0</v>
      </c>
      <c r="AJ10" s="187">
        <v>0</v>
      </c>
      <c r="AK10" s="187">
        <v>8484000</v>
      </c>
      <c r="AL10" s="187">
        <v>3054240</v>
      </c>
      <c r="AM10" s="187">
        <v>807676.8</v>
      </c>
      <c r="AN10" s="186">
        <v>12345916.800000001</v>
      </c>
      <c r="AO10" s="162"/>
      <c r="AP10" s="190">
        <v>8</v>
      </c>
      <c r="AQ10" s="191" t="s">
        <v>215</v>
      </c>
      <c r="AR10" s="192">
        <v>12345916.800000001</v>
      </c>
      <c r="AS10" s="162"/>
      <c r="AT10" s="162"/>
    </row>
    <row r="11" spans="1:46" ht="21.75" x14ac:dyDescent="0.5">
      <c r="A11" s="179">
        <v>9</v>
      </c>
      <c r="B11" s="228" t="s">
        <v>217</v>
      </c>
      <c r="C11" s="179">
        <v>1</v>
      </c>
      <c r="D11" s="179" t="s">
        <v>207</v>
      </c>
      <c r="E11" s="196"/>
      <c r="F11" s="183"/>
      <c r="G11" s="183"/>
      <c r="H11" s="193">
        <v>20000000</v>
      </c>
      <c r="I11" s="180"/>
      <c r="J11" s="194">
        <v>0.15</v>
      </c>
      <c r="K11" s="183"/>
      <c r="L11" s="183"/>
      <c r="M11" s="183"/>
      <c r="N11" s="183"/>
      <c r="O11" s="179"/>
      <c r="P11" s="237">
        <v>0.1</v>
      </c>
      <c r="Q11" s="240">
        <v>0.9</v>
      </c>
      <c r="R11" s="195"/>
      <c r="S11" s="242">
        <v>2000000</v>
      </c>
      <c r="T11" s="185">
        <v>1869158.8785046728</v>
      </c>
      <c r="U11" s="185"/>
      <c r="V11" s="185"/>
      <c r="W11" s="185"/>
      <c r="X11" s="185"/>
      <c r="Y11" s="186">
        <v>18000000</v>
      </c>
      <c r="Z11" s="187"/>
      <c r="AA11" s="187"/>
      <c r="AB11" s="187"/>
      <c r="AC11" s="187"/>
      <c r="AD11" s="187"/>
      <c r="AE11" s="188"/>
      <c r="AF11" s="189"/>
      <c r="AG11" s="187"/>
      <c r="AH11" s="187"/>
      <c r="AI11" s="187"/>
      <c r="AJ11" s="187"/>
      <c r="AK11" s="187"/>
      <c r="AL11" s="187"/>
      <c r="AM11" s="187"/>
      <c r="AN11" s="186">
        <v>0</v>
      </c>
      <c r="AO11" s="162"/>
      <c r="AP11" s="190">
        <v>9</v>
      </c>
      <c r="AQ11" s="191" t="s">
        <v>217</v>
      </c>
      <c r="AR11" s="192">
        <v>0</v>
      </c>
      <c r="AS11" s="162"/>
      <c r="AT11" s="162"/>
    </row>
    <row r="12" spans="1:46" ht="22.5" thickBot="1" x14ac:dyDescent="0.55000000000000004">
      <c r="A12" s="160"/>
      <c r="B12" s="227"/>
      <c r="C12" s="160"/>
      <c r="D12" s="160"/>
      <c r="E12" s="160"/>
      <c r="F12" s="161"/>
      <c r="G12" s="161"/>
      <c r="H12" s="197"/>
      <c r="I12" s="200"/>
      <c r="J12" s="200"/>
      <c r="K12" s="200"/>
      <c r="L12" s="200"/>
      <c r="M12" s="200"/>
      <c r="N12" s="200"/>
      <c r="O12" s="200"/>
      <c r="P12" s="163"/>
      <c r="Q12" s="164"/>
      <c r="R12" s="162"/>
      <c r="S12" s="249"/>
      <c r="T12" s="198"/>
      <c r="U12" s="198"/>
      <c r="V12" s="198"/>
      <c r="W12" s="198"/>
      <c r="X12" s="198"/>
      <c r="Y12" s="249"/>
      <c r="Z12" s="198"/>
      <c r="AA12" s="198"/>
      <c r="AB12" s="198"/>
      <c r="AC12" s="198"/>
      <c r="AD12" s="198"/>
      <c r="AE12" s="198"/>
      <c r="AF12" s="198"/>
      <c r="AG12" s="250"/>
      <c r="AH12" s="250"/>
      <c r="AI12" s="250"/>
      <c r="AJ12" s="250"/>
      <c r="AK12" s="250"/>
      <c r="AL12" s="250"/>
      <c r="AM12" s="250"/>
      <c r="AN12" s="248"/>
      <c r="AO12" s="162"/>
      <c r="AP12" s="198"/>
      <c r="AQ12" s="198"/>
      <c r="AR12" s="198"/>
      <c r="AS12" s="162"/>
      <c r="AT12" s="162"/>
    </row>
    <row r="13" spans="1:46" ht="22.5" thickBot="1" x14ac:dyDescent="0.55000000000000004">
      <c r="A13" s="160"/>
      <c r="B13" s="231" t="s">
        <v>218</v>
      </c>
      <c r="C13" s="232"/>
      <c r="D13" s="232"/>
      <c r="E13" s="232"/>
      <c r="F13" s="199">
        <v>170689285</v>
      </c>
      <c r="G13" s="199"/>
      <c r="H13" s="252">
        <v>177646620.5</v>
      </c>
      <c r="I13" s="200"/>
      <c r="J13" s="200"/>
      <c r="K13" s="248">
        <v>3623190.0599999996</v>
      </c>
      <c r="L13" s="248">
        <v>2485331.3960280376</v>
      </c>
      <c r="M13" s="248">
        <v>900827.53173676005</v>
      </c>
      <c r="N13" s="248">
        <v>237031.12494353586</v>
      </c>
      <c r="O13" s="198"/>
      <c r="P13" s="253">
        <f>+S13</f>
        <v>34227241.512500003</v>
      </c>
      <c r="Q13" s="254">
        <f>+Y13</f>
        <v>143419378.98750001</v>
      </c>
      <c r="R13" s="162"/>
      <c r="S13" s="251">
        <v>34227241.512500003</v>
      </c>
      <c r="T13" s="251">
        <v>31988076.17990654</v>
      </c>
      <c r="U13" s="247"/>
      <c r="V13" s="247"/>
      <c r="W13" s="247"/>
      <c r="X13" s="247"/>
      <c r="Y13" s="251">
        <v>143419378.98750001</v>
      </c>
      <c r="Z13" s="251">
        <v>89176989.707943931</v>
      </c>
      <c r="AA13" s="247"/>
      <c r="AB13" s="198"/>
      <c r="AC13" s="198"/>
      <c r="AD13" s="198"/>
      <c r="AE13" s="198"/>
      <c r="AF13" s="198"/>
      <c r="AG13" s="250"/>
      <c r="AH13" s="250"/>
      <c r="AI13" s="250"/>
      <c r="AJ13" s="250"/>
      <c r="AK13" s="250"/>
      <c r="AL13" s="250"/>
      <c r="AM13" s="250"/>
      <c r="AN13" s="248">
        <v>134124795.7332083</v>
      </c>
      <c r="AO13" s="162"/>
      <c r="AP13" s="243"/>
      <c r="AQ13" s="244" t="s">
        <v>218</v>
      </c>
      <c r="AR13" s="245">
        <v>134124795.7332083</v>
      </c>
      <c r="AS13" s="162"/>
      <c r="AT13" s="162"/>
    </row>
    <row r="14" spans="1:46" ht="21.75" x14ac:dyDescent="0.5">
      <c r="A14" s="162"/>
      <c r="B14" s="233"/>
      <c r="C14" s="177"/>
      <c r="D14" s="177"/>
      <c r="E14" s="177"/>
      <c r="F14" s="234"/>
      <c r="G14" s="246" t="s">
        <v>219</v>
      </c>
      <c r="H14" s="235">
        <f>+H13/H13</f>
        <v>1</v>
      </c>
      <c r="I14" s="200"/>
      <c r="J14" s="162"/>
      <c r="K14" s="200"/>
      <c r="L14" s="200"/>
      <c r="M14" s="200"/>
      <c r="N14" s="200"/>
      <c r="O14" s="162"/>
      <c r="P14" s="235">
        <f>+P13/H13</f>
        <v>0.19267037794563618</v>
      </c>
      <c r="Q14" s="235">
        <f>+Q13/H13</f>
        <v>0.80732962205436387</v>
      </c>
      <c r="R14" s="162"/>
      <c r="S14" s="235">
        <f>+S13/H13</f>
        <v>0.19267037794563618</v>
      </c>
      <c r="T14" s="177"/>
      <c r="U14" s="162"/>
      <c r="V14" s="162"/>
      <c r="W14" s="162"/>
      <c r="X14" s="162"/>
      <c r="Y14" s="235">
        <f>+Y13/H13</f>
        <v>0.80732962205436387</v>
      </c>
      <c r="Z14" s="177"/>
      <c r="AA14" s="162"/>
      <c r="AB14" s="162"/>
      <c r="AC14" s="162"/>
      <c r="AD14" s="162"/>
      <c r="AE14" s="162"/>
      <c r="AF14" s="162"/>
      <c r="AG14" s="201"/>
      <c r="AH14" s="201"/>
      <c r="AI14" s="201"/>
      <c r="AJ14" s="201"/>
      <c r="AK14" s="201"/>
      <c r="AL14" s="201"/>
      <c r="AM14" s="201"/>
      <c r="AN14" s="201"/>
      <c r="AO14" s="162"/>
      <c r="AP14" s="162"/>
      <c r="AQ14" s="162"/>
      <c r="AR14" s="162"/>
      <c r="AS14" s="162"/>
      <c r="AT14" s="162"/>
    </row>
    <row r="15" spans="1:46" ht="21.75" x14ac:dyDescent="0.5">
      <c r="A15" s="162"/>
      <c r="B15" s="229"/>
      <c r="C15" s="162"/>
      <c r="D15" s="162"/>
      <c r="E15" s="162"/>
      <c r="F15" s="200"/>
      <c r="G15" s="200"/>
      <c r="H15" s="200"/>
      <c r="I15" s="200"/>
      <c r="J15" s="162"/>
      <c r="K15" s="200"/>
      <c r="L15" s="200"/>
      <c r="M15" s="200"/>
      <c r="N15" s="200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201"/>
      <c r="AH15" s="201"/>
      <c r="AI15" s="201"/>
      <c r="AJ15" s="201"/>
      <c r="AK15" s="201"/>
      <c r="AL15" s="201"/>
      <c r="AM15" s="201"/>
      <c r="AN15" s="201"/>
      <c r="AO15" s="162"/>
      <c r="AP15" s="162"/>
      <c r="AQ15" s="162"/>
      <c r="AR15" s="162"/>
      <c r="AS15" s="162"/>
      <c r="AT15" s="162"/>
    </row>
    <row r="16" spans="1:46" ht="21.75" x14ac:dyDescent="0.5">
      <c r="A16" s="162"/>
      <c r="B16" s="229"/>
      <c r="C16" s="162"/>
      <c r="D16" s="162"/>
      <c r="E16" s="162"/>
      <c r="F16" s="200"/>
      <c r="G16" s="200"/>
      <c r="H16" s="200"/>
      <c r="I16" s="200"/>
      <c r="J16" s="162"/>
      <c r="K16" s="200"/>
      <c r="L16" s="200"/>
      <c r="M16" s="200"/>
      <c r="N16" s="200"/>
      <c r="O16" s="162"/>
      <c r="P16" s="162"/>
      <c r="Q16" s="200"/>
      <c r="R16" s="20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201"/>
      <c r="AH16" s="201"/>
      <c r="AI16" s="201"/>
      <c r="AJ16" s="201"/>
      <c r="AK16" s="201"/>
      <c r="AL16" s="201"/>
      <c r="AM16" s="201"/>
      <c r="AN16" s="201"/>
      <c r="AO16" s="162"/>
      <c r="AP16" s="162"/>
      <c r="AQ16" s="162"/>
      <c r="AR16" s="162"/>
      <c r="AS16" s="162"/>
      <c r="AT16" s="162"/>
    </row>
  </sheetData>
  <mergeCells count="1">
    <mergeCell ref="AP1:A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ลูกหนี้ในการบริหารสินเชื่อ</vt:lpstr>
      <vt:lpstr>วงเงินลูกค้า Co-Lending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vinai_ep@hotmail.com</cp:lastModifiedBy>
  <dcterms:created xsi:type="dcterms:W3CDTF">2025-11-05T03:19:35Z</dcterms:created>
  <dcterms:modified xsi:type="dcterms:W3CDTF">2025-11-05T06:44:39Z</dcterms:modified>
</cp:coreProperties>
</file>