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ile Assets\Desktop\คุณแก้วใจ\ส่ง\"/>
    </mc:Choice>
  </mc:AlternateContent>
  <xr:revisionPtr revIDLastSave="0" documentId="13_ncr:1_{9960B789-8FFF-47F3-910E-21A74A819456}" xr6:coauthVersionLast="47" xr6:coauthVersionMax="47" xr10:uidLastSave="{00000000-0000-0000-0000-000000000000}"/>
  <bookViews>
    <workbookView xWindow="28680" yWindow="-120" windowWidth="29040" windowHeight="15720" xr2:uid="{3E44A331-0732-448D-B613-9D985D46F1A2}"/>
  </bookViews>
  <sheets>
    <sheet name="ประมาณการรายได้ 2024-27" sheetId="6" r:id="rId1"/>
    <sheet name="DATA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6" l="1"/>
  <c r="D21" i="6"/>
  <c r="E21" i="6"/>
  <c r="D27" i="4" l="1"/>
  <c r="D20" i="6" s="1"/>
  <c r="C26" i="4"/>
  <c r="D26" i="4" s="1"/>
  <c r="D24" i="4"/>
  <c r="E24" i="4" s="1"/>
  <c r="F24" i="4" s="1"/>
  <c r="E26" i="4" l="1"/>
  <c r="D25" i="4"/>
  <c r="D19" i="6" s="1"/>
  <c r="E27" i="4"/>
  <c r="F27" i="4"/>
  <c r="F20" i="6" s="1"/>
  <c r="E20" i="6"/>
  <c r="E25" i="4" l="1"/>
  <c r="E19" i="6" s="1"/>
  <c r="F26" i="4"/>
  <c r="F25" i="4" s="1"/>
  <c r="F19" i="6" s="1"/>
  <c r="E7" i="6" l="1"/>
  <c r="D7" i="6"/>
  <c r="B36" i="6" l="1"/>
  <c r="B35" i="6"/>
  <c r="B34" i="6"/>
  <c r="B33" i="6"/>
  <c r="C26" i="6"/>
  <c r="C35" i="6" s="1"/>
  <c r="C20" i="6"/>
  <c r="C19" i="6"/>
  <c r="C18" i="6"/>
  <c r="E14" i="6"/>
  <c r="F14" i="6" s="1"/>
  <c r="C14" i="6"/>
  <c r="C15" i="6" s="1"/>
  <c r="F7" i="6"/>
  <c r="F6" i="6"/>
  <c r="E6" i="6"/>
  <c r="D6" i="6"/>
  <c r="C5" i="6"/>
  <c r="C9" i="6" s="1"/>
  <c r="B5" i="6"/>
  <c r="F2" i="6"/>
  <c r="E2" i="6"/>
  <c r="D2" i="6"/>
  <c r="C2" i="6"/>
  <c r="AN18" i="4"/>
  <c r="Y18" i="4"/>
  <c r="X18" i="4"/>
  <c r="AM18" i="4" s="1"/>
  <c r="L18" i="4"/>
  <c r="M18" i="4" s="1"/>
  <c r="K18" i="4"/>
  <c r="Z18" i="4" s="1"/>
  <c r="AO18" i="4" s="1"/>
  <c r="Z17" i="4"/>
  <c r="AA17" i="4" s="1"/>
  <c r="AB17" i="4" s="1"/>
  <c r="AC17" i="4" s="1"/>
  <c r="AD17" i="4" s="1"/>
  <c r="AE17" i="4" s="1"/>
  <c r="AF17" i="4" s="1"/>
  <c r="AG17" i="4" s="1"/>
  <c r="AH17" i="4" s="1"/>
  <c r="AI17" i="4" s="1"/>
  <c r="AJ17" i="4" s="1"/>
  <c r="AN17" i="4" s="1"/>
  <c r="AO17" i="4" s="1"/>
  <c r="AP17" i="4" s="1"/>
  <c r="AQ17" i="4" s="1"/>
  <c r="AR17" i="4" s="1"/>
  <c r="AS17" i="4" s="1"/>
  <c r="AT17" i="4" s="1"/>
  <c r="AU17" i="4" s="1"/>
  <c r="AV17" i="4" s="1"/>
  <c r="AW17" i="4" s="1"/>
  <c r="AX17" i="4" s="1"/>
  <c r="AY17" i="4" s="1"/>
  <c r="AN10" i="4"/>
  <c r="AN14" i="4" s="1"/>
  <c r="N18" i="4" l="1"/>
  <c r="AB18" i="4"/>
  <c r="AQ18" i="4" s="1"/>
  <c r="AA18" i="4"/>
  <c r="AP18" i="4" s="1"/>
  <c r="C16" i="6"/>
  <c r="C33" i="6" s="1"/>
  <c r="F22" i="6"/>
  <c r="F34" i="6" s="1"/>
  <c r="E26" i="6"/>
  <c r="E35" i="6" s="1"/>
  <c r="D26" i="6"/>
  <c r="D35" i="6" s="1"/>
  <c r="C22" i="6"/>
  <c r="C34" i="6" s="1"/>
  <c r="F26" i="6"/>
  <c r="F35" i="6" s="1"/>
  <c r="D22" i="6"/>
  <c r="D34" i="6" s="1"/>
  <c r="E22" i="6"/>
  <c r="E34" i="6" s="1"/>
  <c r="AO10" i="4"/>
  <c r="AN11" i="4"/>
  <c r="AN12" i="4"/>
  <c r="Y10" i="4"/>
  <c r="Y14" i="4" s="1"/>
  <c r="Z8" i="4"/>
  <c r="AA8" i="4"/>
  <c r="AB8" i="4"/>
  <c r="AC8" i="4"/>
  <c r="AD8" i="4"/>
  <c r="AE8" i="4"/>
  <c r="AF8" i="4"/>
  <c r="AG8" i="4"/>
  <c r="AH8" i="4"/>
  <c r="AI8" i="4"/>
  <c r="AJ8" i="4"/>
  <c r="Y8" i="4"/>
  <c r="O18" i="4" l="1"/>
  <c r="AC18" i="4"/>
  <c r="AR18" i="4" s="1"/>
  <c r="C27" i="6"/>
  <c r="C29" i="6"/>
  <c r="C36" i="6" s="1"/>
  <c r="AO12" i="4"/>
  <c r="AP12" i="4" s="1"/>
  <c r="AQ12" i="4" s="1"/>
  <c r="AR12" i="4" s="1"/>
  <c r="AS12" i="4" s="1"/>
  <c r="AT12" i="4" s="1"/>
  <c r="AU12" i="4" s="1"/>
  <c r="AV12" i="4" s="1"/>
  <c r="AW12" i="4" s="1"/>
  <c r="AX12" i="4" s="1"/>
  <c r="AY12" i="4" s="1"/>
  <c r="AN15" i="4"/>
  <c r="AO11" i="4"/>
  <c r="AO14" i="4"/>
  <c r="AP10" i="4"/>
  <c r="AZ17" i="4"/>
  <c r="Y11" i="4"/>
  <c r="Y15" i="4" s="1"/>
  <c r="Y12" i="4"/>
  <c r="Z10" i="4"/>
  <c r="AZ12" i="4" l="1"/>
  <c r="P18" i="4"/>
  <c r="AD18" i="4"/>
  <c r="AQ10" i="4"/>
  <c r="AP14" i="4"/>
  <c r="AO15" i="4"/>
  <c r="AP11" i="4"/>
  <c r="Z11" i="4"/>
  <c r="Z12" i="4"/>
  <c r="Z14" i="4"/>
  <c r="AA10" i="4"/>
  <c r="AS18" i="4" l="1"/>
  <c r="Q18" i="4"/>
  <c r="AE18" i="4"/>
  <c r="AT18" i="4" s="1"/>
  <c r="AP15" i="4"/>
  <c r="AQ11" i="4"/>
  <c r="AR10" i="4"/>
  <c r="AQ14" i="4"/>
  <c r="AB10" i="4"/>
  <c r="AA14" i="4"/>
  <c r="AA11" i="4"/>
  <c r="AA15" i="4" s="1"/>
  <c r="AA12" i="4"/>
  <c r="Z15" i="4"/>
  <c r="R18" i="4" l="1"/>
  <c r="AF18" i="4"/>
  <c r="AU18" i="4" s="1"/>
  <c r="AR14" i="4"/>
  <c r="AS10" i="4"/>
  <c r="AR11" i="4"/>
  <c r="AQ15" i="4"/>
  <c r="AC10" i="4"/>
  <c r="AB14" i="4"/>
  <c r="AB11" i="4"/>
  <c r="AB12" i="4"/>
  <c r="V17" i="4"/>
  <c r="J10" i="4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U11" i="4" s="1"/>
  <c r="U15" i="4" s="1"/>
  <c r="F6" i="4"/>
  <c r="E6" i="4"/>
  <c r="D6" i="4"/>
  <c r="F5" i="4"/>
  <c r="E5" i="4"/>
  <c r="D5" i="4"/>
  <c r="S18" i="4" l="1"/>
  <c r="AG18" i="4"/>
  <c r="AV18" i="4" s="1"/>
  <c r="AS11" i="4"/>
  <c r="AR15" i="4"/>
  <c r="AT10" i="4"/>
  <c r="AS14" i="4"/>
  <c r="K11" i="4"/>
  <c r="K15" i="4" s="1"/>
  <c r="AB15" i="4"/>
  <c r="AD10" i="4"/>
  <c r="AC14" i="4"/>
  <c r="AC11" i="4"/>
  <c r="AC15" i="4" s="1"/>
  <c r="AC12" i="4"/>
  <c r="P14" i="4"/>
  <c r="M14" i="4"/>
  <c r="O14" i="4"/>
  <c r="J14" i="4"/>
  <c r="N14" i="4"/>
  <c r="T14" i="4"/>
  <c r="S14" i="4"/>
  <c r="K14" i="4"/>
  <c r="U14" i="4"/>
  <c r="R14" i="4"/>
  <c r="L14" i="4"/>
  <c r="Q14" i="4"/>
  <c r="V10" i="4"/>
  <c r="R11" i="4"/>
  <c r="R15" i="4" s="1"/>
  <c r="J11" i="4"/>
  <c r="Q11" i="4"/>
  <c r="Q15" i="4" s="1"/>
  <c r="P11" i="4"/>
  <c r="P15" i="4" s="1"/>
  <c r="J12" i="4"/>
  <c r="O11" i="4"/>
  <c r="O15" i="4" s="1"/>
  <c r="N11" i="4"/>
  <c r="N15" i="4" s="1"/>
  <c r="M11" i="4"/>
  <c r="M15" i="4" s="1"/>
  <c r="T11" i="4"/>
  <c r="T15" i="4" s="1"/>
  <c r="L11" i="4"/>
  <c r="L15" i="4" s="1"/>
  <c r="S11" i="4"/>
  <c r="S15" i="4" s="1"/>
  <c r="T18" i="4" l="1"/>
  <c r="AH18" i="4"/>
  <c r="AW18" i="4" s="1"/>
  <c r="AU10" i="4"/>
  <c r="AT14" i="4"/>
  <c r="AT11" i="4"/>
  <c r="AS15" i="4"/>
  <c r="AE10" i="4"/>
  <c r="AD14" i="4"/>
  <c r="AD11" i="4"/>
  <c r="AD12" i="4"/>
  <c r="V14" i="4"/>
  <c r="D10" i="6" s="1"/>
  <c r="J16" i="4"/>
  <c r="J15" i="4"/>
  <c r="V15" i="4" s="1"/>
  <c r="D12" i="6" s="1"/>
  <c r="K12" i="4"/>
  <c r="L12" i="4" s="1"/>
  <c r="M12" i="4" s="1"/>
  <c r="N12" i="4" s="1"/>
  <c r="O12" i="4" s="1"/>
  <c r="P12" i="4" s="1"/>
  <c r="Q12" i="4" s="1"/>
  <c r="R12" i="4" s="1"/>
  <c r="S12" i="4" s="1"/>
  <c r="T12" i="4" s="1"/>
  <c r="U12" i="4" s="1"/>
  <c r="V12" i="4" s="1"/>
  <c r="J13" i="4"/>
  <c r="V11" i="4"/>
  <c r="J19" i="4" l="1"/>
  <c r="U18" i="4"/>
  <c r="AI18" i="4"/>
  <c r="AX18" i="4" s="1"/>
  <c r="AU11" i="4"/>
  <c r="AT15" i="4"/>
  <c r="AV10" i="4"/>
  <c r="AU14" i="4"/>
  <c r="AD15" i="4"/>
  <c r="AF10" i="4"/>
  <c r="AE12" i="4"/>
  <c r="AE14" i="4"/>
  <c r="AE11" i="4"/>
  <c r="AE15" i="4" s="1"/>
  <c r="K13" i="4"/>
  <c r="K16" i="4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Y16" i="4" s="1"/>
  <c r="K19" i="4" l="1"/>
  <c r="AJ18" i="4"/>
  <c r="V18" i="4"/>
  <c r="AW10" i="4"/>
  <c r="AV14" i="4"/>
  <c r="AV11" i="4"/>
  <c r="AU15" i="4"/>
  <c r="AG10" i="4"/>
  <c r="AF12" i="4"/>
  <c r="AF11" i="4"/>
  <c r="AF15" i="4" s="1"/>
  <c r="AF14" i="4"/>
  <c r="Z16" i="4"/>
  <c r="AA16" i="4" s="1"/>
  <c r="AB16" i="4" s="1"/>
  <c r="AC16" i="4" s="1"/>
  <c r="AD16" i="4" s="1"/>
  <c r="AE16" i="4" s="1"/>
  <c r="AF16" i="4" s="1"/>
  <c r="V16" i="4"/>
  <c r="D13" i="6" s="1"/>
  <c r="D15" i="6" s="1"/>
  <c r="L13" i="4"/>
  <c r="L19" i="4" s="1"/>
  <c r="AY18" i="4" l="1"/>
  <c r="AZ18" i="4" s="1"/>
  <c r="AK18" i="4"/>
  <c r="AW11" i="4"/>
  <c r="AV15" i="4"/>
  <c r="AX10" i="4"/>
  <c r="AW14" i="4"/>
  <c r="AH10" i="4"/>
  <c r="AG14" i="4"/>
  <c r="AG12" i="4"/>
  <c r="AG11" i="4"/>
  <c r="AG16" i="4" s="1"/>
  <c r="AK17" i="4"/>
  <c r="M13" i="4"/>
  <c r="M19" i="4" s="1"/>
  <c r="AY10" i="4" l="1"/>
  <c r="AX14" i="4"/>
  <c r="AX11" i="4"/>
  <c r="AW15" i="4"/>
  <c r="AG15" i="4"/>
  <c r="AI10" i="4"/>
  <c r="AH11" i="4"/>
  <c r="AH15" i="4" s="1"/>
  <c r="AH12" i="4"/>
  <c r="AH14" i="4"/>
  <c r="N13" i="4"/>
  <c r="N19" i="4" s="1"/>
  <c r="AY11" i="4" l="1"/>
  <c r="AX15" i="4"/>
  <c r="AY14" i="4"/>
  <c r="AZ14" i="4" s="1"/>
  <c r="F10" i="6" s="1"/>
  <c r="AZ10" i="4"/>
  <c r="AJ10" i="4"/>
  <c r="AI14" i="4"/>
  <c r="AI11" i="4"/>
  <c r="AI15" i="4" s="1"/>
  <c r="AI12" i="4"/>
  <c r="AH16" i="4"/>
  <c r="O13" i="4"/>
  <c r="O19" i="4" s="1"/>
  <c r="AY15" i="4" l="1"/>
  <c r="AZ15" i="4" s="1"/>
  <c r="F12" i="6" s="1"/>
  <c r="AZ11" i="4"/>
  <c r="AJ14" i="4"/>
  <c r="AK14" i="4" s="1"/>
  <c r="AJ11" i="4"/>
  <c r="AJ12" i="4"/>
  <c r="AK12" i="4" s="1"/>
  <c r="AK10" i="4"/>
  <c r="AI16" i="4"/>
  <c r="AJ16" i="4" s="1"/>
  <c r="AN16" i="4" s="1"/>
  <c r="P13" i="4"/>
  <c r="P19" i="4" s="1"/>
  <c r="AO16" i="4" l="1"/>
  <c r="AP16" i="4" s="1"/>
  <c r="AQ16" i="4" s="1"/>
  <c r="AR16" i="4" s="1"/>
  <c r="AS16" i="4" s="1"/>
  <c r="AT16" i="4" s="1"/>
  <c r="AU16" i="4" s="1"/>
  <c r="AV16" i="4" s="1"/>
  <c r="AW16" i="4" s="1"/>
  <c r="AX16" i="4" s="1"/>
  <c r="AY16" i="4" s="1"/>
  <c r="AJ15" i="4"/>
  <c r="AK15" i="4" s="1"/>
  <c r="E12" i="6" s="1"/>
  <c r="AK11" i="4"/>
  <c r="AK16" i="4"/>
  <c r="E13" i="6" s="1"/>
  <c r="Q13" i="4"/>
  <c r="Q19" i="4" s="1"/>
  <c r="AZ16" i="4" l="1"/>
  <c r="F13" i="6" s="1"/>
  <c r="F15" i="6" s="1"/>
  <c r="R13" i="4"/>
  <c r="R19" i="4" s="1"/>
  <c r="S13" i="4" l="1"/>
  <c r="S19" i="4" s="1"/>
  <c r="T13" i="4" l="1"/>
  <c r="T19" i="4" s="1"/>
  <c r="U13" i="4" l="1"/>
  <c r="Y13" i="4" l="1"/>
  <c r="Y19" i="4" s="1"/>
  <c r="U19" i="4"/>
  <c r="Z13" i="4"/>
  <c r="Z19" i="4" s="1"/>
  <c r="V19" i="4"/>
  <c r="V13" i="4"/>
  <c r="D8" i="6" s="1"/>
  <c r="D9" i="6" l="1"/>
  <c r="D16" i="6" s="1"/>
  <c r="AA13" i="4"/>
  <c r="AA19" i="4" s="1"/>
  <c r="D27" i="6" l="1"/>
  <c r="D33" i="6"/>
  <c r="D29" i="6"/>
  <c r="D36" i="6" s="1"/>
  <c r="AB13" i="4"/>
  <c r="AB19" i="4" s="1"/>
  <c r="AC13" i="4" l="1"/>
  <c r="AC19" i="4" s="1"/>
  <c r="AD13" i="4" l="1"/>
  <c r="AD19" i="4" s="1"/>
  <c r="AE13" i="4" l="1"/>
  <c r="AE19" i="4" s="1"/>
  <c r="AF13" i="4" l="1"/>
  <c r="AF19" i="4" s="1"/>
  <c r="AG13" i="4" l="1"/>
  <c r="AG19" i="4" s="1"/>
  <c r="AH13" i="4" l="1"/>
  <c r="AH19" i="4" s="1"/>
  <c r="AI13" i="4" l="1"/>
  <c r="AI19" i="4" s="1"/>
  <c r="AJ13" i="4" l="1"/>
  <c r="AN13" i="4" l="1"/>
  <c r="AN19" i="4" s="1"/>
  <c r="AJ19" i="4"/>
  <c r="AK19" i="4"/>
  <c r="AK13" i="4"/>
  <c r="E8" i="6" l="1"/>
  <c r="E9" i="6" s="1"/>
  <c r="E10" i="6"/>
  <c r="E15" i="6" s="1"/>
  <c r="AO13" i="4"/>
  <c r="AO19" i="4" s="1"/>
  <c r="AP13" i="4"/>
  <c r="AP19" i="4" s="1"/>
  <c r="E16" i="6" l="1"/>
  <c r="E27" i="6" s="1"/>
  <c r="E28" i="6" s="1"/>
  <c r="E29" i="6" s="1"/>
  <c r="E33" i="6"/>
  <c r="AQ13" i="4"/>
  <c r="AQ19" i="4" s="1"/>
  <c r="E36" i="6" l="1"/>
  <c r="AR13" i="4"/>
  <c r="AR19" i="4" s="1"/>
  <c r="AS13" i="4" l="1"/>
  <c r="AS19" i="4" s="1"/>
  <c r="AT13" i="4" l="1"/>
  <c r="AT19" i="4" s="1"/>
  <c r="AU13" i="4" l="1"/>
  <c r="AU19" i="4" s="1"/>
  <c r="AV13" i="4" l="1"/>
  <c r="AV19" i="4" s="1"/>
  <c r="AW13" i="4" l="1"/>
  <c r="AW19" i="4" s="1"/>
  <c r="AX13" i="4" l="1"/>
  <c r="AX19" i="4" s="1"/>
  <c r="AY13" i="4" l="1"/>
  <c r="AY19" i="4" s="1"/>
  <c r="AZ19" i="4" s="1"/>
  <c r="AZ13" i="4" l="1"/>
  <c r="F8" i="6" s="1"/>
  <c r="F9" i="6" l="1"/>
  <c r="F16" i="6" s="1"/>
  <c r="F27" i="6" l="1"/>
  <c r="F28" i="6" s="1"/>
  <c r="F29" i="6" s="1"/>
  <c r="F33" i="6"/>
  <c r="F36" i="6"/>
</calcChain>
</file>

<file path=xl/sharedStrings.xml><?xml version="1.0" encoding="utf-8"?>
<sst xmlns="http://schemas.openxmlformats.org/spreadsheetml/2006/main" count="103" uniqueCount="68">
  <si>
    <t>รายการ</t>
  </si>
  <si>
    <t>ปี</t>
  </si>
  <si>
    <t>%</t>
  </si>
  <si>
    <t>รายได้</t>
  </si>
  <si>
    <t>Agile</t>
  </si>
  <si>
    <t>Co-Lending</t>
  </si>
  <si>
    <t>ดอกเบี้ยรับ - เช่าซื้อ (อาไจล์)</t>
  </si>
  <si>
    <t>ดอกเบี้ยรับ</t>
  </si>
  <si>
    <t>ค่าจัดทำสัญญา</t>
  </si>
  <si>
    <t>Origination Fee</t>
  </si>
  <si>
    <t>ดอกเบี้ยรับ - เช่าซื้อ (Co-Lending)</t>
  </si>
  <si>
    <t>Service Fee</t>
  </si>
  <si>
    <t>ดอกเบี้ยรับรวม</t>
  </si>
  <si>
    <t>รายได้จากค่าจัดทำสัญญา</t>
  </si>
  <si>
    <t>ค่าใช้จ่าย</t>
  </si>
  <si>
    <t>รายได้จากค่าปรับ</t>
  </si>
  <si>
    <t>รายได้จาก Origination Fee</t>
  </si>
  <si>
    <t>รายได้จาก Service Fee</t>
  </si>
  <si>
    <t>รายได้อื่น</t>
  </si>
  <si>
    <t>รวมรายได้อื่น</t>
  </si>
  <si>
    <t>รวมรายได้</t>
  </si>
  <si>
    <t>PAYROLL</t>
  </si>
  <si>
    <t>จำนวนพนักงาน</t>
  </si>
  <si>
    <t>ต้นทุนขาย</t>
  </si>
  <si>
    <t>อัตราการขึ้นเงินเดือน</t>
  </si>
  <si>
    <t>ค่าใช้จ่าย - PAY ROLL</t>
  </si>
  <si>
    <t>เงินเดือน</t>
  </si>
  <si>
    <t>ค่าใช้จ่าย - Non PAY ROLL</t>
  </si>
  <si>
    <t>เงินเดือนเฉลี่ย</t>
  </si>
  <si>
    <t>หนี้สงสัยจะสูญ</t>
  </si>
  <si>
    <t>Non Payroll</t>
  </si>
  <si>
    <t>รวมค่าใช้จ่าย</t>
  </si>
  <si>
    <t>นักลงทุน</t>
  </si>
  <si>
    <t>นักลงทุนเพิ่ม</t>
  </si>
  <si>
    <t>รวม ต้นทุนทางการเงิน</t>
  </si>
  <si>
    <t>กำไรก่อนหักภาษี</t>
  </si>
  <si>
    <t>ภาษีเงินได้</t>
  </si>
  <si>
    <t>กำไร</t>
  </si>
  <si>
    <t>สมมุติฐาน</t>
  </si>
  <si>
    <t>1. ประมาณยอดปล่อยสินเชื่อ</t>
  </si>
  <si>
    <t>สัดส่วน</t>
  </si>
  <si>
    <t>Agile (ล้านบาท)</t>
  </si>
  <si>
    <t>Co-Lending (ล้านบาท)</t>
  </si>
  <si>
    <t>2. ประมาณการรายเดือน</t>
  </si>
  <si>
    <t>เป้าปล่อยสินเชื่อ</t>
  </si>
  <si>
    <t>เป้าปล่อยสินเชื่อ (ล้านบาท)</t>
  </si>
  <si>
    <t>สัดส่วน Co-Lending</t>
  </si>
  <si>
    <t>Total</t>
  </si>
  <si>
    <t>ค่าใช้บริการโปรแกรม</t>
  </si>
  <si>
    <t>เทอม</t>
  </si>
  <si>
    <t>ประมาณการ</t>
  </si>
  <si>
    <t>ลูกค้าจ่าย</t>
  </si>
  <si>
    <t>Co-Lending จ่าย</t>
  </si>
  <si>
    <t>ดอกเบี้ยรับ (อาไจล์)</t>
  </si>
  <si>
    <t>หมายเหตุ</t>
  </si>
  <si>
    <t>เดือน</t>
  </si>
  <si>
    <t>ประมาณการ 2025</t>
  </si>
  <si>
    <t>ประมาณการ 2026</t>
  </si>
  <si>
    <t>ประมาณการ 2027</t>
  </si>
  <si>
    <t>ประมาณการรายได้ บจก. อาไจล์ แอสเซ็ทส์ ปี 2024 - 2027</t>
  </si>
  <si>
    <t>ดอกเบี้ยรับ - Factoring</t>
  </si>
  <si>
    <t>3. Payroll</t>
  </si>
  <si>
    <t>4. หนี้สงสัยจะสูญ</t>
  </si>
  <si>
    <t>ประมาณหนี้สงสัยจะสูญ</t>
  </si>
  <si>
    <t>.</t>
  </si>
  <si>
    <t>สรุปข้อมูลทางการเงิน</t>
  </si>
  <si>
    <t>ดอกเบี้ยจ่าย (สถาบันการเงิน)</t>
  </si>
  <si>
    <t>หน่วย : ล้านบาท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</si>
</sst>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Cordia New"/>
      <family val="2"/>
    </font>
    <font>
      <sz val="11"/>
      <color theme="1"/>
      <name val="Arial"/>
      <family val="2"/>
    </font>
    <font>
      <b/>
      <sz val="14"/>
      <color theme="1"/>
      <name val="Browallia New"/>
      <family val="2"/>
    </font>
    <font>
      <sz val="14"/>
      <color theme="1"/>
      <name val="Browallia New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sz val="14"/>
      <color theme="0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</cellStyleXfs>
  <cellXfs count="55">
    <xf numFmtId="0" fontId="0" fillId="0" borderId="0" xfId="0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2" fontId="5" fillId="2" borderId="0" xfId="0" applyNumberFormat="1" applyFont="1" applyFill="1"/>
    <xf numFmtId="2" fontId="5" fillId="2" borderId="1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9" fontId="5" fillId="2" borderId="1" xfId="1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1" xfId="0" applyFont="1" applyFill="1" applyBorder="1" applyAlignment="1">
      <alignment horizontal="left"/>
    </xf>
    <xf numFmtId="10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17" fontId="5" fillId="2" borderId="1" xfId="0" applyNumberFormat="1" applyFont="1" applyFill="1" applyBorder="1"/>
    <xf numFmtId="17" fontId="5" fillId="2" borderId="1" xfId="0" applyNumberFormat="1" applyFont="1" applyFill="1" applyBorder="1" applyAlignment="1">
      <alignment horizontal="center"/>
    </xf>
    <xf numFmtId="10" fontId="5" fillId="2" borderId="0" xfId="0" applyNumberFormat="1" applyFont="1" applyFill="1"/>
    <xf numFmtId="0" fontId="5" fillId="3" borderId="1" xfId="0" applyFont="1" applyFill="1" applyBorder="1"/>
    <xf numFmtId="2" fontId="5" fillId="3" borderId="1" xfId="0" applyNumberFormat="1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0" fontId="4" fillId="2" borderId="0" xfId="0" applyFont="1" applyFill="1" applyAlignment="1">
      <alignment horizontal="left"/>
    </xf>
    <xf numFmtId="17" fontId="4" fillId="2" borderId="1" xfId="0" applyNumberFormat="1" applyFont="1" applyFill="1" applyBorder="1"/>
    <xf numFmtId="17" fontId="4" fillId="2" borderId="1" xfId="0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7" fillId="3" borderId="1" xfId="0" applyFont="1" applyFill="1" applyBorder="1"/>
    <xf numFmtId="4" fontId="7" fillId="3" borderId="1" xfId="0" applyNumberFormat="1" applyFont="1" applyFill="1" applyBorder="1"/>
    <xf numFmtId="0" fontId="7" fillId="6" borderId="1" xfId="0" applyFont="1" applyFill="1" applyBorder="1"/>
    <xf numFmtId="4" fontId="7" fillId="6" borderId="1" xfId="0" applyNumberFormat="1" applyFont="1" applyFill="1" applyBorder="1"/>
    <xf numFmtId="0" fontId="6" fillId="0" borderId="0" xfId="0" applyFont="1"/>
    <xf numFmtId="0" fontId="7" fillId="0" borderId="0" xfId="0" applyFont="1"/>
    <xf numFmtId="4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3" fontId="7" fillId="0" borderId="2" xfId="0" applyNumberFormat="1" applyFont="1" applyBorder="1"/>
    <xf numFmtId="37" fontId="7" fillId="0" borderId="2" xfId="0" applyNumberFormat="1" applyFont="1" applyBorder="1"/>
    <xf numFmtId="4" fontId="7" fillId="0" borderId="2" xfId="0" applyNumberFormat="1" applyFont="1" applyBorder="1"/>
    <xf numFmtId="4" fontId="7" fillId="0" borderId="0" xfId="0" applyNumberFormat="1" applyFont="1"/>
    <xf numFmtId="0" fontId="8" fillId="0" borderId="1" xfId="0" applyFont="1" applyBorder="1"/>
    <xf numFmtId="4" fontId="8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4" fontId="7" fillId="0" borderId="1" xfId="0" applyNumberFormat="1" applyFont="1" applyBorder="1"/>
    <xf numFmtId="3" fontId="8" fillId="0" borderId="1" xfId="0" applyNumberFormat="1" applyFont="1" applyBorder="1"/>
    <xf numFmtId="0" fontId="8" fillId="0" borderId="0" xfId="0" applyFont="1"/>
    <xf numFmtId="4" fontId="8" fillId="0" borderId="0" xfId="0" applyNumberFormat="1" applyFont="1"/>
    <xf numFmtId="4" fontId="6" fillId="0" borderId="1" xfId="0" applyNumberFormat="1" applyFont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8" fillId="5" borderId="1" xfId="0" applyFont="1" applyFill="1" applyBorder="1"/>
    <xf numFmtId="4" fontId="8" fillId="5" borderId="1" xfId="0" applyNumberFormat="1" applyFont="1" applyFill="1" applyBorder="1"/>
    <xf numFmtId="0" fontId="10" fillId="0" borderId="0" xfId="0" applyFont="1" applyAlignment="1">
      <alignment horizontal="center"/>
    </xf>
  </cellXfs>
  <cellStyles count="6">
    <cellStyle name="Normal" xfId="0" builtinId="0"/>
    <cellStyle name="Normal 2" xfId="2" xr:uid="{9A2EA721-C2DB-4460-B3AD-E7A875BAEC75}"/>
    <cellStyle name="Normal 4" xfId="3" xr:uid="{40485A50-2193-43A8-B1E9-E16DB7BB1B14}"/>
    <cellStyle name="Percent" xfId="1" builtinId="5"/>
    <cellStyle name="เปอร์เซ็นต์ 3" xfId="5" xr:uid="{55DF9E72-EA80-4C3A-BDA6-95B144B01769}"/>
    <cellStyle name="จุลภาค 3" xfId="4" xr:uid="{6F264B6C-C501-44B7-B842-25A9447B4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ile%20Assets\Desktop\&#3588;&#3640;&#3603;&#3649;&#3585;&#3657;&#3623;&#3651;&#3592;\&#3607;&#3635;&#3586;&#3657;&#3629;&#3617;&#3641;&#3621;\&#3586;&#3657;&#3629;&#3617;&#3641;&#3621;%20&#3648;&#3614;&#3636;&#3656;&#3617;&#3607;&#3640;&#3609;%20V9%20&#3611;&#3619;&#3632;&#3617;&#3634;&#3603;&#3585;&#3634;&#3619;&#3605;&#3657;&#3609;&#3607;&#3640;&#3609;&#3651;&#3627;&#3617;&#3656;%204.6.68.xlsx" TargetMode="External"/><Relationship Id="rId1" Type="http://schemas.openxmlformats.org/officeDocument/2006/relationships/externalLinkPath" Target="/Users/Agile%20Assets/Desktop/&#3588;&#3640;&#3603;&#3649;&#3585;&#3657;&#3623;&#3651;&#3592;/&#3607;&#3635;&#3586;&#3657;&#3629;&#3617;&#3641;&#3621;/&#3586;&#3657;&#3629;&#3617;&#3641;&#3621;%20&#3648;&#3614;&#3636;&#3656;&#3617;&#3607;&#3640;&#3609;%20V9%20&#3611;&#3619;&#3632;&#3617;&#3634;&#3603;&#3585;&#3634;&#3619;&#3605;&#3657;&#3609;&#3607;&#3640;&#3609;&#3651;&#3627;&#3617;&#3656;%204.6.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ประมาณการรายได้ 248 ปี 67"/>
      <sheetName val="ประมาณการรายได้ ปี 68"/>
      <sheetName val="ประมาณการรายได้ 248"/>
      <sheetName val="Sheet6"/>
      <sheetName val="PL67"/>
      <sheetName val="ค่าเบี้ยปรับ"/>
      <sheetName val="Business Model"/>
      <sheetName val="ต้นทุนเงินกู้"/>
      <sheetName val="เงินกู้ BBL"/>
      <sheetName val="นักลง่ทุน"/>
      <sheetName val="ต้นทุนเงินกู้ BBL"/>
      <sheetName val="ประมาณการรายได้ 248 +"/>
      <sheetName val="ประมาณการรายได้ 234"/>
      <sheetName val="ประมาณการรายได้ 246"/>
      <sheetName val="Black Scholes"/>
      <sheetName val="รับ 9% ต้นทุน 7%"/>
      <sheetName val="การเพิ่มทุน 2"/>
      <sheetName val="การเพิ่มทุน 1"/>
      <sheetName val="การเพิ่มทุน 15.8.67"/>
      <sheetName val="เพิ่มทุน convertible"/>
      <sheetName val="ยอดผ่อน"/>
      <sheetName val="รับ 9% ต้นทุน 7% +"/>
      <sheetName val="ยอดผ่อนต้นทุน 7%"/>
      <sheetName val="CAGR"/>
      <sheetName val="ลูกหนี้ฟ้อง"/>
      <sheetName val="warrant"/>
      <sheetName val="ค่าใช้จ่าย"/>
      <sheetName val="burn rate"/>
      <sheetName val="burn rate 2"/>
      <sheetName val="Link"/>
      <sheetName val="Sheet2"/>
      <sheetName val="ตัวอย่าง ASK"/>
      <sheetName val="GDP"/>
      <sheetName val="นำเข้า"/>
      <sheetName val="ความเสี่ยง"/>
      <sheetName val="ลูกหนี้"/>
      <sheetName val="ลูกหนี้ 2"/>
      <sheetName val="คำนวณหุ้นกู้"/>
      <sheetName val="หุ้นกู้"/>
    </sheetNames>
    <sheetDataSet>
      <sheetData sheetId="0"/>
      <sheetData sheetId="1"/>
      <sheetData sheetId="2"/>
      <sheetData sheetId="3"/>
      <sheetData sheetId="4">
        <row r="7">
          <cell r="A7" t="str">
            <v>รายได้จากการขายและการให้บริการ</v>
          </cell>
          <cell r="E7">
            <v>1529642.31</v>
          </cell>
        </row>
        <row r="13">
          <cell r="E13">
            <v>1306538.6599999999</v>
          </cell>
        </row>
        <row r="76">
          <cell r="Q76">
            <v>8171618.5199999996</v>
          </cell>
        </row>
        <row r="130">
          <cell r="L130">
            <v>12259341.300000003</v>
          </cell>
        </row>
      </sheetData>
      <sheetData sheetId="5">
        <row r="211">
          <cell r="U211">
            <v>984088.18999999878</v>
          </cell>
        </row>
      </sheetData>
      <sheetData sheetId="6"/>
      <sheetData sheetId="7"/>
      <sheetData sheetId="8">
        <row r="13">
          <cell r="AL13">
            <v>2137139.9905197741</v>
          </cell>
        </row>
      </sheetData>
      <sheetData sheetId="9">
        <row r="14">
          <cell r="BL14">
            <v>1594954.1280998858</v>
          </cell>
        </row>
      </sheetData>
      <sheetData sheetId="10"/>
      <sheetData sheetId="11">
        <row r="6">
          <cell r="C6">
            <v>9074289.1137933396</v>
          </cell>
          <cell r="D6">
            <v>7845682.9660196146</v>
          </cell>
          <cell r="E6">
            <v>6500670.2127482407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6865-8BBB-4B8C-8747-5E589DA8DE07}">
  <dimension ref="B1:J36"/>
  <sheetViews>
    <sheetView showGridLines="0" tabSelected="1" workbookViewId="0">
      <selection activeCell="J18" sqref="J18"/>
    </sheetView>
  </sheetViews>
  <sheetFormatPr defaultRowHeight="21" x14ac:dyDescent="0.45"/>
  <cols>
    <col min="1" max="1" width="2.85546875" customWidth="1"/>
    <col min="2" max="2" width="33" style="33" customWidth="1"/>
    <col min="3" max="6" width="12.85546875" style="33" customWidth="1"/>
    <col min="9" max="9" width="11.7109375" style="34" bestFit="1" customWidth="1"/>
  </cols>
  <sheetData>
    <row r="1" spans="2:9" x14ac:dyDescent="0.45">
      <c r="B1" s="32" t="s">
        <v>59</v>
      </c>
    </row>
    <row r="2" spans="2:9" x14ac:dyDescent="0.45">
      <c r="B2" s="33" t="s">
        <v>67</v>
      </c>
      <c r="C2" s="54">
        <f>+C3+543</f>
        <v>2567</v>
      </c>
      <c r="D2" s="54">
        <f t="shared" ref="D2:F2" si="0">+D3+543</f>
        <v>2568</v>
      </c>
      <c r="E2" s="54">
        <f t="shared" si="0"/>
        <v>2569</v>
      </c>
      <c r="F2" s="54">
        <f t="shared" si="0"/>
        <v>2570</v>
      </c>
    </row>
    <row r="3" spans="2:9" x14ac:dyDescent="0.45">
      <c r="B3" s="35" t="s">
        <v>0</v>
      </c>
      <c r="C3" s="35">
        <v>2024</v>
      </c>
      <c r="D3" s="35">
        <v>2025</v>
      </c>
      <c r="E3" s="35">
        <v>2026</v>
      </c>
      <c r="F3" s="35">
        <v>2027</v>
      </c>
    </row>
    <row r="4" spans="2:9" x14ac:dyDescent="0.45">
      <c r="B4" s="36" t="s">
        <v>3</v>
      </c>
      <c r="C4" s="37"/>
      <c r="D4" s="37"/>
      <c r="E4" s="37"/>
      <c r="F4" s="37"/>
    </row>
    <row r="5" spans="2:9" x14ac:dyDescent="0.45">
      <c r="B5" s="38" t="str">
        <f>+[1]PL67!A7</f>
        <v>รายได้จากการขายและการให้บริการ</v>
      </c>
      <c r="C5" s="39">
        <f>+[1]PL67!E7/1000000</f>
        <v>1.5296423100000001</v>
      </c>
      <c r="D5" s="39">
        <v>0</v>
      </c>
      <c r="E5" s="39">
        <v>0</v>
      </c>
      <c r="F5" s="39">
        <v>0</v>
      </c>
      <c r="I5" s="40"/>
    </row>
    <row r="6" spans="2:9" x14ac:dyDescent="0.45">
      <c r="B6" s="41" t="s">
        <v>6</v>
      </c>
      <c r="C6" s="42">
        <v>12.19</v>
      </c>
      <c r="D6" s="42">
        <f>+'[1]ประมาณการรายได้ 248 +'!C6/1000000</f>
        <v>9.0742891137933395</v>
      </c>
      <c r="E6" s="42">
        <f>+'[1]ประมาณการรายได้ 248 +'!D6/1000000</f>
        <v>7.8456829660196146</v>
      </c>
      <c r="F6" s="42">
        <f>+'[1]ประมาณการรายได้ 248 +'!E6/1000000</f>
        <v>6.5006702127482408</v>
      </c>
    </row>
    <row r="7" spans="2:9" x14ac:dyDescent="0.45">
      <c r="B7" s="41" t="s">
        <v>60</v>
      </c>
      <c r="C7" s="42"/>
      <c r="D7" s="42">
        <f>10*0.6*0.15*7/12</f>
        <v>0.52499999999999991</v>
      </c>
      <c r="E7" s="42">
        <f>10*0.6*0.15</f>
        <v>0.89999999999999991</v>
      </c>
      <c r="F7" s="42">
        <f>+E7</f>
        <v>0.89999999999999991</v>
      </c>
    </row>
    <row r="8" spans="2:9" x14ac:dyDescent="0.45">
      <c r="B8" s="41" t="s">
        <v>10</v>
      </c>
      <c r="C8" s="42"/>
      <c r="D8" s="42">
        <f>+DATA!V13</f>
        <v>3.9000000000000008</v>
      </c>
      <c r="E8" s="42">
        <f>+DATA!AK13</f>
        <v>15.000000000000002</v>
      </c>
      <c r="F8" s="42">
        <f>+DATA!AZ13</f>
        <v>35.25</v>
      </c>
    </row>
    <row r="9" spans="2:9" x14ac:dyDescent="0.45">
      <c r="B9" s="50" t="s">
        <v>12</v>
      </c>
      <c r="C9" s="51">
        <f t="shared" ref="C9" si="1">SUM(C5:C8)</f>
        <v>13.719642309999999</v>
      </c>
      <c r="D9" s="51">
        <f t="shared" ref="D9" si="2">SUM(D5:D8)</f>
        <v>13.49928911379334</v>
      </c>
      <c r="E9" s="51">
        <f t="shared" ref="E9:F9" si="3">SUM(E5:E8)</f>
        <v>23.745682966019615</v>
      </c>
      <c r="F9" s="51">
        <f t="shared" si="3"/>
        <v>42.650670212748238</v>
      </c>
    </row>
    <row r="10" spans="2:9" x14ac:dyDescent="0.45">
      <c r="B10" s="41" t="s">
        <v>13</v>
      </c>
      <c r="C10" s="42">
        <v>1.8070504200000004</v>
      </c>
      <c r="D10" s="42">
        <f>+DATA!V14</f>
        <v>12</v>
      </c>
      <c r="E10" s="42">
        <f>+DATA!AK13</f>
        <v>15.000000000000002</v>
      </c>
      <c r="F10" s="42">
        <f>+DATA!AZ14</f>
        <v>42</v>
      </c>
    </row>
    <row r="11" spans="2:9" x14ac:dyDescent="0.45">
      <c r="B11" s="41" t="s">
        <v>15</v>
      </c>
      <c r="C11" s="42">
        <v>1.2479221299999999</v>
      </c>
      <c r="D11" s="42">
        <v>1</v>
      </c>
      <c r="E11" s="42">
        <v>1</v>
      </c>
      <c r="F11" s="42">
        <v>1</v>
      </c>
    </row>
    <row r="12" spans="2:9" x14ac:dyDescent="0.45">
      <c r="B12" s="43" t="s">
        <v>16</v>
      </c>
      <c r="C12" s="44"/>
      <c r="D12" s="45">
        <f>+DATA!V15</f>
        <v>7.1999999999999993</v>
      </c>
      <c r="E12" s="45">
        <f>+DATA!AK15</f>
        <v>14.399999999999999</v>
      </c>
      <c r="F12" s="45">
        <f>+DATA!AZ15</f>
        <v>25.200000000000006</v>
      </c>
    </row>
    <row r="13" spans="2:9" x14ac:dyDescent="0.45">
      <c r="B13" s="43" t="s">
        <v>17</v>
      </c>
      <c r="C13" s="44"/>
      <c r="D13" s="45">
        <f>+DATA!V16</f>
        <v>1.56</v>
      </c>
      <c r="E13" s="45">
        <f>+DATA!AK16</f>
        <v>5.9999999999999991</v>
      </c>
      <c r="F13" s="45">
        <f>+DATA!AZ16</f>
        <v>14.1</v>
      </c>
    </row>
    <row r="14" spans="2:9" x14ac:dyDescent="0.45">
      <c r="B14" s="43" t="s">
        <v>18</v>
      </c>
      <c r="C14" s="45">
        <f>+[1]ค่าเบี้ยปรับ!U211/1000000</f>
        <v>0.98408818999999881</v>
      </c>
      <c r="D14" s="45">
        <v>1</v>
      </c>
      <c r="E14" s="45">
        <f>+D14</f>
        <v>1</v>
      </c>
      <c r="F14" s="45">
        <f>+E14</f>
        <v>1</v>
      </c>
    </row>
    <row r="15" spans="2:9" x14ac:dyDescent="0.45">
      <c r="B15" s="28" t="s">
        <v>19</v>
      </c>
      <c r="C15" s="29">
        <f>SUM(C10:C14)</f>
        <v>4.0390607399999992</v>
      </c>
      <c r="D15" s="29">
        <f t="shared" ref="D15:F15" si="4">SUM(D10:D14)</f>
        <v>22.759999999999998</v>
      </c>
      <c r="E15" s="29">
        <f t="shared" si="4"/>
        <v>37.4</v>
      </c>
      <c r="F15" s="29">
        <f t="shared" si="4"/>
        <v>83.3</v>
      </c>
    </row>
    <row r="16" spans="2:9" x14ac:dyDescent="0.45">
      <c r="B16" s="30" t="s">
        <v>20</v>
      </c>
      <c r="C16" s="31">
        <f>+C9+C15</f>
        <v>17.758703049999998</v>
      </c>
      <c r="D16" s="31">
        <f t="shared" ref="D16:F16" si="5">+D9+D15</f>
        <v>36.259289113793336</v>
      </c>
      <c r="E16" s="31">
        <f t="shared" si="5"/>
        <v>61.145682966019614</v>
      </c>
      <c r="F16" s="31">
        <f t="shared" si="5"/>
        <v>125.95067021274824</v>
      </c>
    </row>
    <row r="17" spans="2:10" x14ac:dyDescent="0.45">
      <c r="B17" s="43" t="s">
        <v>14</v>
      </c>
      <c r="C17" s="44"/>
      <c r="D17" s="44"/>
      <c r="E17" s="44"/>
      <c r="F17" s="44"/>
    </row>
    <row r="18" spans="2:10" x14ac:dyDescent="0.45">
      <c r="B18" s="43" t="s">
        <v>23</v>
      </c>
      <c r="C18" s="45">
        <f>+[1]PL67!E13/1000000</f>
        <v>1.30653866</v>
      </c>
      <c r="D18" s="45">
        <v>0</v>
      </c>
      <c r="E18" s="45">
        <v>0</v>
      </c>
      <c r="F18" s="45">
        <v>0</v>
      </c>
    </row>
    <row r="19" spans="2:10" x14ac:dyDescent="0.45">
      <c r="B19" s="41" t="s">
        <v>25</v>
      </c>
      <c r="C19" s="42">
        <f>+[1]PL67!Q76/1000000</f>
        <v>8.1716185199999991</v>
      </c>
      <c r="D19" s="42">
        <f>+DATA!D25</f>
        <v>10.247209624079998</v>
      </c>
      <c r="E19" s="42">
        <f>+DATA!E25</f>
        <v>11.303241504783797</v>
      </c>
      <c r="F19" s="42">
        <f>+DATA!F25</f>
        <v>12.433565655262175</v>
      </c>
    </row>
    <row r="20" spans="2:10" x14ac:dyDescent="0.45">
      <c r="B20" s="41" t="s">
        <v>27</v>
      </c>
      <c r="C20" s="42">
        <f>+([1]PL67!L130-[1]PL67!Q76)/1000000</f>
        <v>4.0877227800000027</v>
      </c>
      <c r="D20" s="42">
        <f>+DATA!D27</f>
        <v>4.2716703051000025</v>
      </c>
      <c r="E20" s="42">
        <f>+DATA!E27</f>
        <v>4.4638954688295023</v>
      </c>
      <c r="F20" s="42">
        <f>+DATA!F27</f>
        <v>4.6647707649268293</v>
      </c>
    </row>
    <row r="21" spans="2:10" x14ac:dyDescent="0.45">
      <c r="B21" s="41" t="s">
        <v>29</v>
      </c>
      <c r="C21" s="42">
        <v>18.735702239999998</v>
      </c>
      <c r="D21" s="42">
        <f>7%*DATA!V12</f>
        <v>5.6000000000000032</v>
      </c>
      <c r="E21" s="42">
        <f>7%*DATA!AK12</f>
        <v>11.200000000000006</v>
      </c>
      <c r="F21" s="42">
        <f>7%*DATA!AZ12</f>
        <v>19.600000000000005</v>
      </c>
    </row>
    <row r="22" spans="2:10" x14ac:dyDescent="0.45">
      <c r="B22" s="52" t="s">
        <v>31</v>
      </c>
      <c r="C22" s="53">
        <f>SUM(C18:C21)</f>
        <v>32.301582199999999</v>
      </c>
      <c r="D22" s="53">
        <f>SUM(D18:D21)</f>
        <v>20.118879929180004</v>
      </c>
      <c r="E22" s="53">
        <f t="shared" ref="E22:F22" si="6">SUM(E18:E21)</f>
        <v>26.967136973613307</v>
      </c>
      <c r="F22" s="53">
        <f t="shared" si="6"/>
        <v>36.698336420189008</v>
      </c>
    </row>
    <row r="23" spans="2:10" x14ac:dyDescent="0.45">
      <c r="B23" s="41" t="s">
        <v>66</v>
      </c>
      <c r="C23" s="42">
        <v>4.26679064</v>
      </c>
      <c r="D23" s="42">
        <v>5.5639280321668814</v>
      </c>
      <c r="E23" s="42">
        <v>4.683087003149895</v>
      </c>
      <c r="F23" s="42">
        <v>3.4274995314952563</v>
      </c>
    </row>
    <row r="24" spans="2:10" x14ac:dyDescent="0.45">
      <c r="B24" s="41" t="s">
        <v>32</v>
      </c>
      <c r="C24" s="42">
        <v>1.88249972</v>
      </c>
      <c r="D24" s="42">
        <v>3.8845938189177613</v>
      </c>
      <c r="E24" s="42">
        <v>3.0393593723270165</v>
      </c>
      <c r="F24" s="42">
        <v>2.2209907901222898</v>
      </c>
    </row>
    <row r="25" spans="2:10" x14ac:dyDescent="0.45">
      <c r="B25" s="41" t="s">
        <v>33</v>
      </c>
      <c r="C25" s="42">
        <v>0</v>
      </c>
      <c r="D25" s="42">
        <v>1.5949541280998858</v>
      </c>
      <c r="E25" s="42">
        <v>5.5923803880901204</v>
      </c>
      <c r="F25" s="42">
        <v>11.662776581899653</v>
      </c>
    </row>
    <row r="26" spans="2:10" x14ac:dyDescent="0.45">
      <c r="B26" s="52" t="s">
        <v>34</v>
      </c>
      <c r="C26" s="53">
        <f>SUM(C23:C25)</f>
        <v>6.1492903600000002</v>
      </c>
      <c r="D26" s="53">
        <f t="shared" ref="D26:F26" si="7">SUM(D23:D25)</f>
        <v>11.043475979184528</v>
      </c>
      <c r="E26" s="53">
        <f t="shared" si="7"/>
        <v>13.314826763567032</v>
      </c>
      <c r="F26" s="53">
        <f t="shared" si="7"/>
        <v>17.3112669035172</v>
      </c>
    </row>
    <row r="27" spans="2:10" x14ac:dyDescent="0.45">
      <c r="B27" s="41" t="s">
        <v>35</v>
      </c>
      <c r="C27" s="42">
        <f>+C16-C22-C26</f>
        <v>-20.692169509999999</v>
      </c>
      <c r="D27" s="42">
        <f>+D16-D22-D26</f>
        <v>5.0969332054288046</v>
      </c>
      <c r="E27" s="42">
        <f>+E16-E22-E26</f>
        <v>20.863719228839273</v>
      </c>
      <c r="F27" s="42">
        <f>+F16-F22-F26</f>
        <v>71.94106688904202</v>
      </c>
    </row>
    <row r="28" spans="2:10" x14ac:dyDescent="0.45">
      <c r="B28" s="46" t="s">
        <v>36</v>
      </c>
      <c r="C28" s="42">
        <v>0</v>
      </c>
      <c r="D28" s="42">
        <v>0</v>
      </c>
      <c r="E28" s="42">
        <f>+(E27-24)*0.2</f>
        <v>-0.62725615423214554</v>
      </c>
      <c r="F28" s="42">
        <f>+F27*0.2</f>
        <v>14.388213377808405</v>
      </c>
    </row>
    <row r="29" spans="2:10" x14ac:dyDescent="0.45">
      <c r="B29" s="41" t="s">
        <v>37</v>
      </c>
      <c r="C29" s="42">
        <f>+C16-C22-C26-C28</f>
        <v>-20.692169509999999</v>
      </c>
      <c r="D29" s="42">
        <f>+D16-D22-D26-D28</f>
        <v>5.0969332054288046</v>
      </c>
      <c r="E29" s="42">
        <f>+E16-E22-E26-E28</f>
        <v>21.490975383071419</v>
      </c>
      <c r="F29" s="42">
        <f>+F16-F22-F26-F28</f>
        <v>57.552853511233614</v>
      </c>
    </row>
    <row r="30" spans="2:10" x14ac:dyDescent="0.45">
      <c r="B30" s="47"/>
      <c r="C30" s="48"/>
      <c r="D30" s="48"/>
      <c r="E30" s="48"/>
      <c r="F30" s="48"/>
    </row>
    <row r="31" spans="2:10" x14ac:dyDescent="0.45">
      <c r="B31" s="32" t="s">
        <v>65</v>
      </c>
      <c r="C31" s="32"/>
      <c r="D31" s="32"/>
      <c r="E31" s="32"/>
    </row>
    <row r="32" spans="2:10" x14ac:dyDescent="0.45">
      <c r="B32" s="35" t="s">
        <v>0</v>
      </c>
      <c r="C32" s="35">
        <v>2024</v>
      </c>
      <c r="D32" s="35">
        <v>2025</v>
      </c>
      <c r="E32" s="35">
        <v>2026</v>
      </c>
      <c r="F32" s="35">
        <v>2027</v>
      </c>
      <c r="G32" s="33"/>
      <c r="I32"/>
      <c r="J32" s="34"/>
    </row>
    <row r="33" spans="2:10" x14ac:dyDescent="0.45">
      <c r="B33" s="35" t="str">
        <f>+B16</f>
        <v>รวมรายได้</v>
      </c>
      <c r="C33" s="49">
        <f>+C16</f>
        <v>17.758703049999998</v>
      </c>
      <c r="D33" s="49">
        <f>+D16</f>
        <v>36.259289113793336</v>
      </c>
      <c r="E33" s="49">
        <f>+E16</f>
        <v>61.145682966019614</v>
      </c>
      <c r="F33" s="49">
        <f>+F16</f>
        <v>125.95067021274824</v>
      </c>
      <c r="G33" s="33"/>
      <c r="I33"/>
      <c r="J33" s="34"/>
    </row>
    <row r="34" spans="2:10" x14ac:dyDescent="0.45">
      <c r="B34" s="35" t="str">
        <f>+B22</f>
        <v>รวมค่าใช้จ่าย</v>
      </c>
      <c r="C34" s="49">
        <f>+C22</f>
        <v>32.301582199999999</v>
      </c>
      <c r="D34" s="49">
        <f>+D22</f>
        <v>20.118879929180004</v>
      </c>
      <c r="E34" s="49">
        <f>+E22</f>
        <v>26.967136973613307</v>
      </c>
      <c r="F34" s="49">
        <f>+F22</f>
        <v>36.698336420189008</v>
      </c>
      <c r="G34" s="33"/>
      <c r="I34"/>
      <c r="J34" s="34"/>
    </row>
    <row r="35" spans="2:10" x14ac:dyDescent="0.45">
      <c r="B35" s="35" t="str">
        <f>+B26</f>
        <v>รวม ต้นทุนทางการเงิน</v>
      </c>
      <c r="C35" s="49">
        <f>+C26</f>
        <v>6.1492903600000002</v>
      </c>
      <c r="D35" s="49">
        <f>+D26</f>
        <v>11.043475979184528</v>
      </c>
      <c r="E35" s="49">
        <f t="shared" ref="E35:F35" si="8">+E26</f>
        <v>13.314826763567032</v>
      </c>
      <c r="F35" s="49">
        <f t="shared" si="8"/>
        <v>17.3112669035172</v>
      </c>
      <c r="G35" s="33"/>
      <c r="I35"/>
      <c r="J35" s="34"/>
    </row>
    <row r="36" spans="2:10" x14ac:dyDescent="0.45">
      <c r="B36" s="35" t="str">
        <f>+B29</f>
        <v>กำไร</v>
      </c>
      <c r="C36" s="49">
        <f>+C29</f>
        <v>-20.692169509999999</v>
      </c>
      <c r="D36" s="49">
        <f>+D29</f>
        <v>5.0969332054288046</v>
      </c>
      <c r="E36" s="49">
        <f t="shared" ref="E36:F36" si="9">+E29</f>
        <v>21.490975383071419</v>
      </c>
      <c r="F36" s="49">
        <f t="shared" si="9"/>
        <v>57.552853511233614</v>
      </c>
      <c r="G36" s="33"/>
      <c r="I36"/>
      <c r="J36" s="34"/>
    </row>
  </sheetData>
  <pageMargins left="0.7" right="0.7" top="0.75" bottom="0.75" header="0.3" footer="0.3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170C-5C3C-4BCC-8EC2-E91ABD669455}">
  <dimension ref="B1:AZ32"/>
  <sheetViews>
    <sheetView workbookViewId="0">
      <selection activeCell="F26" sqref="F26"/>
    </sheetView>
  </sheetViews>
  <sheetFormatPr defaultRowHeight="20.25" x14ac:dyDescent="0.4"/>
  <cols>
    <col min="1" max="1" width="2.5703125" style="1" customWidth="1"/>
    <col min="2" max="2" width="23.140625" style="1" bestFit="1" customWidth="1"/>
    <col min="3" max="6" width="13.7109375" style="1" customWidth="1"/>
    <col min="7" max="7" width="14" style="1" bestFit="1" customWidth="1"/>
    <col min="8" max="8" width="2.28515625" style="1" customWidth="1"/>
    <col min="9" max="9" width="18.42578125" style="1" customWidth="1"/>
    <col min="10" max="22" width="9.85546875" style="1" customWidth="1"/>
    <col min="23" max="23" width="2.140625" style="1" customWidth="1"/>
    <col min="24" max="24" width="17" style="1" customWidth="1"/>
    <col min="25" max="38" width="9.85546875" style="1" customWidth="1"/>
    <col min="39" max="39" width="17" style="1" bestFit="1" customWidth="1"/>
    <col min="40" max="42" width="9.85546875" style="1" customWidth="1"/>
    <col min="43" max="16384" width="9.140625" style="1"/>
  </cols>
  <sheetData>
    <row r="1" spans="2:52" x14ac:dyDescent="0.4">
      <c r="B1" s="1" t="s">
        <v>38</v>
      </c>
    </row>
    <row r="2" spans="2:52" x14ac:dyDescent="0.4">
      <c r="B2" s="1" t="s">
        <v>39</v>
      </c>
    </row>
    <row r="3" spans="2:52" x14ac:dyDescent="0.4">
      <c r="B3" s="6" t="s">
        <v>1</v>
      </c>
      <c r="C3" s="6" t="s">
        <v>40</v>
      </c>
      <c r="D3" s="6">
        <v>2025</v>
      </c>
      <c r="E3" s="6">
        <v>2026</v>
      </c>
      <c r="F3" s="6">
        <v>2027</v>
      </c>
    </row>
    <row r="4" spans="2:52" x14ac:dyDescent="0.4">
      <c r="B4" s="13" t="s">
        <v>45</v>
      </c>
      <c r="C4" s="6" t="s">
        <v>2</v>
      </c>
      <c r="D4" s="10">
        <v>400</v>
      </c>
      <c r="E4" s="10">
        <v>800</v>
      </c>
      <c r="F4" s="10">
        <v>1400</v>
      </c>
    </row>
    <row r="5" spans="2:52" x14ac:dyDescent="0.4">
      <c r="B5" s="13" t="s">
        <v>41</v>
      </c>
      <c r="C5" s="14">
        <v>0.2</v>
      </c>
      <c r="D5" s="10">
        <f>+D4*C5</f>
        <v>80</v>
      </c>
      <c r="E5" s="10">
        <f>+E4*C5</f>
        <v>160</v>
      </c>
      <c r="F5" s="10">
        <f>+F4*C5</f>
        <v>280</v>
      </c>
    </row>
    <row r="6" spans="2:52" x14ac:dyDescent="0.4">
      <c r="B6" s="13" t="s">
        <v>42</v>
      </c>
      <c r="C6" s="14">
        <v>0.8</v>
      </c>
      <c r="D6" s="10">
        <f>+D4*C6</f>
        <v>320</v>
      </c>
      <c r="E6" s="10">
        <f>+E4*C6</f>
        <v>640</v>
      </c>
      <c r="F6" s="10">
        <f>+F4*C6</f>
        <v>1120</v>
      </c>
    </row>
    <row r="8" spans="2:52" ht="21" x14ac:dyDescent="0.45">
      <c r="B8" s="1" t="s">
        <v>43</v>
      </c>
      <c r="I8" s="23" t="s">
        <v>56</v>
      </c>
      <c r="J8" s="11">
        <v>12</v>
      </c>
      <c r="K8" s="11">
        <v>12</v>
      </c>
      <c r="L8" s="11">
        <v>12</v>
      </c>
      <c r="M8" s="11">
        <v>12</v>
      </c>
      <c r="N8" s="11">
        <v>12</v>
      </c>
      <c r="O8" s="11">
        <v>12</v>
      </c>
      <c r="P8" s="11">
        <v>12</v>
      </c>
      <c r="Q8" s="11">
        <v>12</v>
      </c>
      <c r="R8" s="11">
        <v>12</v>
      </c>
      <c r="S8" s="11">
        <v>12</v>
      </c>
      <c r="T8" s="11">
        <v>12</v>
      </c>
      <c r="U8" s="11">
        <v>12</v>
      </c>
      <c r="X8" s="12" t="s">
        <v>57</v>
      </c>
      <c r="Y8" s="11">
        <f>+J8</f>
        <v>12</v>
      </c>
      <c r="Z8" s="11">
        <f t="shared" ref="Z8:AJ8" si="0">+K8</f>
        <v>12</v>
      </c>
      <c r="AA8" s="11">
        <f t="shared" si="0"/>
        <v>12</v>
      </c>
      <c r="AB8" s="11">
        <f t="shared" si="0"/>
        <v>12</v>
      </c>
      <c r="AC8" s="11">
        <f t="shared" si="0"/>
        <v>12</v>
      </c>
      <c r="AD8" s="11">
        <f t="shared" si="0"/>
        <v>12</v>
      </c>
      <c r="AE8" s="11">
        <f t="shared" si="0"/>
        <v>12</v>
      </c>
      <c r="AF8" s="11">
        <f t="shared" si="0"/>
        <v>12</v>
      </c>
      <c r="AG8" s="11">
        <f t="shared" si="0"/>
        <v>12</v>
      </c>
      <c r="AH8" s="11">
        <f t="shared" si="0"/>
        <v>12</v>
      </c>
      <c r="AI8" s="11">
        <f t="shared" si="0"/>
        <v>12</v>
      </c>
      <c r="AJ8" s="11">
        <f t="shared" si="0"/>
        <v>12</v>
      </c>
      <c r="AM8" s="1" t="s">
        <v>58</v>
      </c>
      <c r="AN8" s="1">
        <v>12</v>
      </c>
      <c r="AO8" s="1">
        <v>12</v>
      </c>
      <c r="AP8" s="1">
        <v>12</v>
      </c>
      <c r="AQ8" s="1">
        <v>12</v>
      </c>
      <c r="AR8" s="1">
        <v>12</v>
      </c>
      <c r="AS8" s="1">
        <v>12</v>
      </c>
      <c r="AT8" s="1">
        <v>12</v>
      </c>
      <c r="AU8" s="1">
        <v>12</v>
      </c>
      <c r="AV8" s="1">
        <v>12</v>
      </c>
      <c r="AW8" s="1">
        <v>12</v>
      </c>
      <c r="AX8" s="1">
        <v>12</v>
      </c>
      <c r="AY8" s="1">
        <v>12</v>
      </c>
    </row>
    <row r="9" spans="2:52" ht="21" x14ac:dyDescent="0.45">
      <c r="B9" s="5" t="s">
        <v>46</v>
      </c>
      <c r="C9" s="6" t="s">
        <v>2</v>
      </c>
      <c r="E9" s="6" t="s">
        <v>0</v>
      </c>
      <c r="F9" s="6" t="s">
        <v>50</v>
      </c>
      <c r="G9" s="6" t="s">
        <v>54</v>
      </c>
      <c r="I9" s="2" t="s">
        <v>1</v>
      </c>
      <c r="J9" s="24">
        <v>45658</v>
      </c>
      <c r="K9" s="24">
        <v>45689</v>
      </c>
      <c r="L9" s="24">
        <v>45717</v>
      </c>
      <c r="M9" s="24">
        <v>45748</v>
      </c>
      <c r="N9" s="24">
        <v>45778</v>
      </c>
      <c r="O9" s="24">
        <v>45809</v>
      </c>
      <c r="P9" s="24">
        <v>45839</v>
      </c>
      <c r="Q9" s="24">
        <v>45870</v>
      </c>
      <c r="R9" s="24">
        <v>45901</v>
      </c>
      <c r="S9" s="24">
        <v>45931</v>
      </c>
      <c r="T9" s="24">
        <v>45962</v>
      </c>
      <c r="U9" s="24">
        <v>45992</v>
      </c>
      <c r="V9" s="25" t="s">
        <v>47</v>
      </c>
      <c r="X9" s="6" t="s">
        <v>1</v>
      </c>
      <c r="Y9" s="16">
        <v>46023</v>
      </c>
      <c r="Z9" s="16">
        <v>46054</v>
      </c>
      <c r="AA9" s="16">
        <v>46082</v>
      </c>
      <c r="AB9" s="16">
        <v>46113</v>
      </c>
      <c r="AC9" s="16">
        <v>46143</v>
      </c>
      <c r="AD9" s="16">
        <v>46174</v>
      </c>
      <c r="AE9" s="16">
        <v>46204</v>
      </c>
      <c r="AF9" s="16">
        <v>46235</v>
      </c>
      <c r="AG9" s="16">
        <v>46266</v>
      </c>
      <c r="AH9" s="16">
        <v>46296</v>
      </c>
      <c r="AI9" s="16">
        <v>46327</v>
      </c>
      <c r="AJ9" s="16">
        <v>46357</v>
      </c>
      <c r="AK9" s="17" t="s">
        <v>47</v>
      </c>
      <c r="AL9" s="27"/>
      <c r="AM9" s="6" t="s">
        <v>1</v>
      </c>
      <c r="AN9" s="16">
        <v>46388</v>
      </c>
      <c r="AO9" s="16">
        <v>46419</v>
      </c>
      <c r="AP9" s="16">
        <v>46447</v>
      </c>
      <c r="AQ9" s="16">
        <v>46478</v>
      </c>
      <c r="AR9" s="16">
        <v>46508</v>
      </c>
      <c r="AS9" s="16">
        <v>46539</v>
      </c>
      <c r="AT9" s="16">
        <v>46569</v>
      </c>
      <c r="AU9" s="16">
        <v>46600</v>
      </c>
      <c r="AV9" s="16">
        <v>46631</v>
      </c>
      <c r="AW9" s="16">
        <v>46661</v>
      </c>
      <c r="AX9" s="16">
        <v>46692</v>
      </c>
      <c r="AY9" s="16">
        <v>46722</v>
      </c>
      <c r="AZ9" s="17" t="s">
        <v>47</v>
      </c>
    </row>
    <row r="10" spans="2:52" x14ac:dyDescent="0.4">
      <c r="B10" s="5" t="s">
        <v>5</v>
      </c>
      <c r="C10" s="8">
        <v>0.8</v>
      </c>
      <c r="E10" s="5" t="s">
        <v>7</v>
      </c>
      <c r="F10" s="26">
        <v>0.09</v>
      </c>
      <c r="G10" s="5"/>
      <c r="I10" s="5" t="s">
        <v>44</v>
      </c>
      <c r="J10" s="4">
        <f>+D4/12</f>
        <v>33.333333333333336</v>
      </c>
      <c r="K10" s="4">
        <f>+J10</f>
        <v>33.333333333333336</v>
      </c>
      <c r="L10" s="4">
        <f t="shared" ref="L10:U10" si="1">+K10</f>
        <v>33.333333333333336</v>
      </c>
      <c r="M10" s="4">
        <f t="shared" si="1"/>
        <v>33.333333333333336</v>
      </c>
      <c r="N10" s="4">
        <f t="shared" si="1"/>
        <v>33.333333333333336</v>
      </c>
      <c r="O10" s="4">
        <f t="shared" si="1"/>
        <v>33.333333333333336</v>
      </c>
      <c r="P10" s="4">
        <f t="shared" si="1"/>
        <v>33.333333333333336</v>
      </c>
      <c r="Q10" s="4">
        <f t="shared" si="1"/>
        <v>33.333333333333336</v>
      </c>
      <c r="R10" s="4">
        <f t="shared" si="1"/>
        <v>33.333333333333336</v>
      </c>
      <c r="S10" s="4">
        <f t="shared" si="1"/>
        <v>33.333333333333336</v>
      </c>
      <c r="T10" s="4">
        <f t="shared" si="1"/>
        <v>33.333333333333336</v>
      </c>
      <c r="U10" s="4">
        <f t="shared" si="1"/>
        <v>33.333333333333336</v>
      </c>
      <c r="V10" s="4">
        <f>SUM(J10:U10)</f>
        <v>399.99999999999994</v>
      </c>
      <c r="X10" s="5" t="s">
        <v>44</v>
      </c>
      <c r="Y10" s="4">
        <f>+E4/12</f>
        <v>66.666666666666671</v>
      </c>
      <c r="Z10" s="4">
        <f>+Y10</f>
        <v>66.666666666666671</v>
      </c>
      <c r="AA10" s="4">
        <f t="shared" ref="AA10:AJ10" si="2">+Z10</f>
        <v>66.666666666666671</v>
      </c>
      <c r="AB10" s="4">
        <f t="shared" si="2"/>
        <v>66.666666666666671</v>
      </c>
      <c r="AC10" s="4">
        <f t="shared" si="2"/>
        <v>66.666666666666671</v>
      </c>
      <c r="AD10" s="4">
        <f t="shared" si="2"/>
        <v>66.666666666666671</v>
      </c>
      <c r="AE10" s="4">
        <f t="shared" si="2"/>
        <v>66.666666666666671</v>
      </c>
      <c r="AF10" s="4">
        <f t="shared" si="2"/>
        <v>66.666666666666671</v>
      </c>
      <c r="AG10" s="4">
        <f t="shared" si="2"/>
        <v>66.666666666666671</v>
      </c>
      <c r="AH10" s="4">
        <f t="shared" si="2"/>
        <v>66.666666666666671</v>
      </c>
      <c r="AI10" s="4">
        <f t="shared" si="2"/>
        <v>66.666666666666671</v>
      </c>
      <c r="AJ10" s="4">
        <f t="shared" si="2"/>
        <v>66.666666666666671</v>
      </c>
      <c r="AK10" s="4">
        <f>SUM(Y10:AJ10)</f>
        <v>799.99999999999989</v>
      </c>
      <c r="AL10" s="3"/>
      <c r="AM10" s="5" t="s">
        <v>44</v>
      </c>
      <c r="AN10" s="4">
        <f>+F4/12</f>
        <v>116.66666666666667</v>
      </c>
      <c r="AO10" s="4">
        <f>+AN10</f>
        <v>116.66666666666667</v>
      </c>
      <c r="AP10" s="4">
        <f>+AO10</f>
        <v>116.66666666666667</v>
      </c>
      <c r="AQ10" s="4">
        <f t="shared" ref="AQ10:AY10" si="3">+AP10</f>
        <v>116.66666666666667</v>
      </c>
      <c r="AR10" s="4">
        <f t="shared" si="3"/>
        <v>116.66666666666667</v>
      </c>
      <c r="AS10" s="4">
        <f t="shared" si="3"/>
        <v>116.66666666666667</v>
      </c>
      <c r="AT10" s="4">
        <f t="shared" si="3"/>
        <v>116.66666666666667</v>
      </c>
      <c r="AU10" s="4">
        <f t="shared" si="3"/>
        <v>116.66666666666667</v>
      </c>
      <c r="AV10" s="4">
        <f t="shared" si="3"/>
        <v>116.66666666666667</v>
      </c>
      <c r="AW10" s="4">
        <f t="shared" si="3"/>
        <v>116.66666666666667</v>
      </c>
      <c r="AX10" s="4">
        <f t="shared" si="3"/>
        <v>116.66666666666667</v>
      </c>
      <c r="AY10" s="4">
        <f t="shared" si="3"/>
        <v>116.66666666666667</v>
      </c>
      <c r="AZ10" s="4">
        <f>SUM(AN10:AY10)</f>
        <v>1400.0000000000002</v>
      </c>
    </row>
    <row r="11" spans="2:52" x14ac:dyDescent="0.4">
      <c r="B11" s="5" t="s">
        <v>4</v>
      </c>
      <c r="C11" s="8">
        <v>0.2</v>
      </c>
      <c r="E11" s="5" t="s">
        <v>49</v>
      </c>
      <c r="F11" s="6">
        <v>48</v>
      </c>
      <c r="G11" s="5" t="s">
        <v>55</v>
      </c>
      <c r="I11" s="5" t="s">
        <v>5</v>
      </c>
      <c r="J11" s="4">
        <f t="shared" ref="J11:U11" si="4">+J10*$C$10</f>
        <v>26.666666666666671</v>
      </c>
      <c r="K11" s="4">
        <f t="shared" si="4"/>
        <v>26.666666666666671</v>
      </c>
      <c r="L11" s="4">
        <f t="shared" si="4"/>
        <v>26.666666666666671</v>
      </c>
      <c r="M11" s="4">
        <f t="shared" si="4"/>
        <v>26.666666666666671</v>
      </c>
      <c r="N11" s="4">
        <f t="shared" si="4"/>
        <v>26.666666666666671</v>
      </c>
      <c r="O11" s="4">
        <f t="shared" si="4"/>
        <v>26.666666666666671</v>
      </c>
      <c r="P11" s="4">
        <f t="shared" si="4"/>
        <v>26.666666666666671</v>
      </c>
      <c r="Q11" s="4">
        <f t="shared" si="4"/>
        <v>26.666666666666671</v>
      </c>
      <c r="R11" s="4">
        <f t="shared" si="4"/>
        <v>26.666666666666671</v>
      </c>
      <c r="S11" s="4">
        <f t="shared" si="4"/>
        <v>26.666666666666671</v>
      </c>
      <c r="T11" s="4">
        <f t="shared" si="4"/>
        <v>26.666666666666671</v>
      </c>
      <c r="U11" s="4">
        <f t="shared" si="4"/>
        <v>26.666666666666671</v>
      </c>
      <c r="V11" s="4">
        <f>SUM(J11:U11)</f>
        <v>320.00000000000017</v>
      </c>
      <c r="X11" s="5" t="s">
        <v>5</v>
      </c>
      <c r="Y11" s="4">
        <f>+Y10*$C$10</f>
        <v>53.333333333333343</v>
      </c>
      <c r="Z11" s="4">
        <f t="shared" ref="Z11:AJ11" si="5">+Z10*$C$10</f>
        <v>53.333333333333343</v>
      </c>
      <c r="AA11" s="4">
        <f t="shared" si="5"/>
        <v>53.333333333333343</v>
      </c>
      <c r="AB11" s="4">
        <f t="shared" si="5"/>
        <v>53.333333333333343</v>
      </c>
      <c r="AC11" s="4">
        <f t="shared" si="5"/>
        <v>53.333333333333343</v>
      </c>
      <c r="AD11" s="4">
        <f t="shared" si="5"/>
        <v>53.333333333333343</v>
      </c>
      <c r="AE11" s="4">
        <f t="shared" si="5"/>
        <v>53.333333333333343</v>
      </c>
      <c r="AF11" s="4">
        <f t="shared" si="5"/>
        <v>53.333333333333343</v>
      </c>
      <c r="AG11" s="4">
        <f t="shared" si="5"/>
        <v>53.333333333333343</v>
      </c>
      <c r="AH11" s="4">
        <f t="shared" si="5"/>
        <v>53.333333333333343</v>
      </c>
      <c r="AI11" s="4">
        <f t="shared" si="5"/>
        <v>53.333333333333343</v>
      </c>
      <c r="AJ11" s="4">
        <f t="shared" si="5"/>
        <v>53.333333333333343</v>
      </c>
      <c r="AK11" s="4">
        <f t="shared" ref="AK11:AK19" si="6">SUM(Y11:AJ11)</f>
        <v>640.00000000000034</v>
      </c>
      <c r="AL11" s="3"/>
      <c r="AM11" s="5" t="s">
        <v>5</v>
      </c>
      <c r="AN11" s="4">
        <f>+AN10*$C$10</f>
        <v>93.333333333333343</v>
      </c>
      <c r="AO11" s="4">
        <f>+AN11</f>
        <v>93.333333333333343</v>
      </c>
      <c r="AP11" s="4">
        <f t="shared" ref="AP11:AY11" si="7">+AO11</f>
        <v>93.333333333333343</v>
      </c>
      <c r="AQ11" s="4">
        <f t="shared" si="7"/>
        <v>93.333333333333343</v>
      </c>
      <c r="AR11" s="4">
        <f t="shared" si="7"/>
        <v>93.333333333333343</v>
      </c>
      <c r="AS11" s="4">
        <f t="shared" si="7"/>
        <v>93.333333333333343</v>
      </c>
      <c r="AT11" s="4">
        <f t="shared" si="7"/>
        <v>93.333333333333343</v>
      </c>
      <c r="AU11" s="4">
        <f t="shared" si="7"/>
        <v>93.333333333333343</v>
      </c>
      <c r="AV11" s="4">
        <f t="shared" si="7"/>
        <v>93.333333333333343</v>
      </c>
      <c r="AW11" s="4">
        <f t="shared" si="7"/>
        <v>93.333333333333343</v>
      </c>
      <c r="AX11" s="4">
        <f t="shared" si="7"/>
        <v>93.333333333333343</v>
      </c>
      <c r="AY11" s="4">
        <f t="shared" si="7"/>
        <v>93.333333333333343</v>
      </c>
      <c r="AZ11" s="4">
        <f t="shared" ref="AZ11:AZ19" si="8">SUM(AN11:AY11)</f>
        <v>1120.0000000000002</v>
      </c>
    </row>
    <row r="12" spans="2:52" x14ac:dyDescent="0.4">
      <c r="C12" s="15"/>
      <c r="E12" s="5" t="s">
        <v>8</v>
      </c>
      <c r="F12" s="14">
        <v>0.03</v>
      </c>
      <c r="G12" s="5" t="s">
        <v>51</v>
      </c>
      <c r="I12" s="5" t="s">
        <v>4</v>
      </c>
      <c r="J12" s="4">
        <f>+J10*$C$11</f>
        <v>6.6666666666666679</v>
      </c>
      <c r="K12" s="4">
        <f>+J12</f>
        <v>6.6666666666666679</v>
      </c>
      <c r="L12" s="4">
        <f t="shared" ref="L12:U12" si="9">+K12</f>
        <v>6.6666666666666679</v>
      </c>
      <c r="M12" s="4">
        <f t="shared" si="9"/>
        <v>6.6666666666666679</v>
      </c>
      <c r="N12" s="4">
        <f t="shared" si="9"/>
        <v>6.6666666666666679</v>
      </c>
      <c r="O12" s="4">
        <f t="shared" si="9"/>
        <v>6.6666666666666679</v>
      </c>
      <c r="P12" s="4">
        <f t="shared" si="9"/>
        <v>6.6666666666666679</v>
      </c>
      <c r="Q12" s="4">
        <f t="shared" si="9"/>
        <v>6.6666666666666679</v>
      </c>
      <c r="R12" s="4">
        <f t="shared" si="9"/>
        <v>6.6666666666666679</v>
      </c>
      <c r="S12" s="4">
        <f t="shared" si="9"/>
        <v>6.6666666666666679</v>
      </c>
      <c r="T12" s="4">
        <f t="shared" si="9"/>
        <v>6.6666666666666679</v>
      </c>
      <c r="U12" s="4">
        <f t="shared" si="9"/>
        <v>6.6666666666666679</v>
      </c>
      <c r="V12" s="4">
        <f t="shared" ref="V12:V19" si="10">SUM(J12:U12)</f>
        <v>80.000000000000043</v>
      </c>
      <c r="X12" s="5" t="s">
        <v>4</v>
      </c>
      <c r="Y12" s="4">
        <f>+Y10*$C$11</f>
        <v>13.333333333333336</v>
      </c>
      <c r="Z12" s="4">
        <f t="shared" ref="Z12:AJ12" si="11">+Z10*$C$11</f>
        <v>13.333333333333336</v>
      </c>
      <c r="AA12" s="4">
        <f t="shared" si="11"/>
        <v>13.333333333333336</v>
      </c>
      <c r="AB12" s="4">
        <f t="shared" si="11"/>
        <v>13.333333333333336</v>
      </c>
      <c r="AC12" s="4">
        <f t="shared" si="11"/>
        <v>13.333333333333336</v>
      </c>
      <c r="AD12" s="4">
        <f t="shared" si="11"/>
        <v>13.333333333333336</v>
      </c>
      <c r="AE12" s="4">
        <f t="shared" si="11"/>
        <v>13.333333333333336</v>
      </c>
      <c r="AF12" s="4">
        <f t="shared" si="11"/>
        <v>13.333333333333336</v>
      </c>
      <c r="AG12" s="4">
        <f t="shared" si="11"/>
        <v>13.333333333333336</v>
      </c>
      <c r="AH12" s="4">
        <f t="shared" si="11"/>
        <v>13.333333333333336</v>
      </c>
      <c r="AI12" s="4">
        <f t="shared" si="11"/>
        <v>13.333333333333336</v>
      </c>
      <c r="AJ12" s="4">
        <f t="shared" si="11"/>
        <v>13.333333333333336</v>
      </c>
      <c r="AK12" s="4">
        <f t="shared" si="6"/>
        <v>160.00000000000009</v>
      </c>
      <c r="AL12" s="3"/>
      <c r="AM12" s="5" t="s">
        <v>4</v>
      </c>
      <c r="AN12" s="4">
        <f>+AN10*$C$11</f>
        <v>23.333333333333336</v>
      </c>
      <c r="AO12" s="4">
        <f>+AN12</f>
        <v>23.333333333333336</v>
      </c>
      <c r="AP12" s="4">
        <f t="shared" ref="AP12:AY12" si="12">+AO12</f>
        <v>23.333333333333336</v>
      </c>
      <c r="AQ12" s="4">
        <f t="shared" si="12"/>
        <v>23.333333333333336</v>
      </c>
      <c r="AR12" s="4">
        <f t="shared" si="12"/>
        <v>23.333333333333336</v>
      </c>
      <c r="AS12" s="4">
        <f t="shared" si="12"/>
        <v>23.333333333333336</v>
      </c>
      <c r="AT12" s="4">
        <f t="shared" si="12"/>
        <v>23.333333333333336</v>
      </c>
      <c r="AU12" s="4">
        <f t="shared" si="12"/>
        <v>23.333333333333336</v>
      </c>
      <c r="AV12" s="4">
        <f t="shared" si="12"/>
        <v>23.333333333333336</v>
      </c>
      <c r="AW12" s="4">
        <f t="shared" si="12"/>
        <v>23.333333333333336</v>
      </c>
      <c r="AX12" s="4">
        <f t="shared" si="12"/>
        <v>23.333333333333336</v>
      </c>
      <c r="AY12" s="4">
        <f t="shared" si="12"/>
        <v>23.333333333333336</v>
      </c>
      <c r="AZ12" s="4">
        <f t="shared" si="8"/>
        <v>280.00000000000006</v>
      </c>
    </row>
    <row r="13" spans="2:52" x14ac:dyDescent="0.4">
      <c r="C13" s="15"/>
      <c r="E13" s="5" t="s">
        <v>9</v>
      </c>
      <c r="F13" s="14">
        <v>2.2499999999999999E-2</v>
      </c>
      <c r="G13" s="5" t="s">
        <v>52</v>
      </c>
      <c r="I13" s="19" t="s">
        <v>53</v>
      </c>
      <c r="J13" s="19">
        <f>+J12*$F$10/J8</f>
        <v>5.000000000000001E-2</v>
      </c>
      <c r="K13" s="20">
        <f>+J13+((K12*$F$10)/12)</f>
        <v>0.10000000000000002</v>
      </c>
      <c r="L13" s="20">
        <f t="shared" ref="L13:U13" si="13">+K13+((L12*$F$10)/12)</f>
        <v>0.15000000000000002</v>
      </c>
      <c r="M13" s="20">
        <f t="shared" si="13"/>
        <v>0.20000000000000004</v>
      </c>
      <c r="N13" s="20">
        <f t="shared" si="13"/>
        <v>0.25000000000000006</v>
      </c>
      <c r="O13" s="20">
        <f t="shared" si="13"/>
        <v>0.30000000000000004</v>
      </c>
      <c r="P13" s="20">
        <f t="shared" si="13"/>
        <v>0.35000000000000003</v>
      </c>
      <c r="Q13" s="20">
        <f t="shared" si="13"/>
        <v>0.4</v>
      </c>
      <c r="R13" s="20">
        <f t="shared" si="13"/>
        <v>0.45</v>
      </c>
      <c r="S13" s="20">
        <f t="shared" si="13"/>
        <v>0.5</v>
      </c>
      <c r="T13" s="20">
        <f t="shared" si="13"/>
        <v>0.55000000000000004</v>
      </c>
      <c r="U13" s="20">
        <f t="shared" si="13"/>
        <v>0.60000000000000009</v>
      </c>
      <c r="V13" s="20">
        <f t="shared" si="10"/>
        <v>3.9000000000000008</v>
      </c>
      <c r="X13" s="19" t="s">
        <v>53</v>
      </c>
      <c r="Y13" s="20">
        <f>+U13+((Y12*$F$10)/Y8)</f>
        <v>0.70000000000000007</v>
      </c>
      <c r="Z13" s="20">
        <f>+Y13+((Z12*($F$10/Z8)))</f>
        <v>0.8</v>
      </c>
      <c r="AA13" s="20">
        <f t="shared" ref="AA13:AJ13" si="14">+Z13+((AA12*($F$10/AA8)))</f>
        <v>0.9</v>
      </c>
      <c r="AB13" s="20">
        <f t="shared" si="14"/>
        <v>1</v>
      </c>
      <c r="AC13" s="20">
        <f t="shared" si="14"/>
        <v>1.1000000000000001</v>
      </c>
      <c r="AD13" s="20">
        <f t="shared" si="14"/>
        <v>1.2000000000000002</v>
      </c>
      <c r="AE13" s="20">
        <f t="shared" si="14"/>
        <v>1.3000000000000003</v>
      </c>
      <c r="AF13" s="20">
        <f t="shared" si="14"/>
        <v>1.4000000000000004</v>
      </c>
      <c r="AG13" s="20">
        <f t="shared" si="14"/>
        <v>1.5000000000000004</v>
      </c>
      <c r="AH13" s="20">
        <f t="shared" si="14"/>
        <v>1.6000000000000005</v>
      </c>
      <c r="AI13" s="20">
        <f t="shared" si="14"/>
        <v>1.7000000000000006</v>
      </c>
      <c r="AJ13" s="20">
        <f t="shared" si="14"/>
        <v>1.8000000000000007</v>
      </c>
      <c r="AK13" s="20">
        <f t="shared" si="6"/>
        <v>15.000000000000002</v>
      </c>
      <c r="AL13" s="3"/>
      <c r="AM13" s="19" t="s">
        <v>53</v>
      </c>
      <c r="AN13" s="20">
        <f>+AJ13+(AN12*$F$10/12)</f>
        <v>1.9750000000000008</v>
      </c>
      <c r="AO13" s="20">
        <f>+AN13+(AO12*$F$10/12)</f>
        <v>2.1500000000000008</v>
      </c>
      <c r="AP13" s="20">
        <f t="shared" ref="AP13:AY13" si="15">+AO13+(AP12*$F$10/12)</f>
        <v>2.3250000000000006</v>
      </c>
      <c r="AQ13" s="20">
        <f t="shared" si="15"/>
        <v>2.5000000000000004</v>
      </c>
      <c r="AR13" s="20">
        <f t="shared" si="15"/>
        <v>2.6750000000000003</v>
      </c>
      <c r="AS13" s="20">
        <f t="shared" si="15"/>
        <v>2.85</v>
      </c>
      <c r="AT13" s="20">
        <f t="shared" si="15"/>
        <v>3.0249999999999999</v>
      </c>
      <c r="AU13" s="20">
        <f t="shared" si="15"/>
        <v>3.1999999999999997</v>
      </c>
      <c r="AV13" s="20">
        <f t="shared" si="15"/>
        <v>3.3749999999999996</v>
      </c>
      <c r="AW13" s="20">
        <f t="shared" si="15"/>
        <v>3.5499999999999994</v>
      </c>
      <c r="AX13" s="20">
        <f t="shared" si="15"/>
        <v>3.7249999999999992</v>
      </c>
      <c r="AY13" s="20">
        <f t="shared" si="15"/>
        <v>3.899999999999999</v>
      </c>
      <c r="AZ13" s="20">
        <f t="shared" si="8"/>
        <v>35.25</v>
      </c>
    </row>
    <row r="14" spans="2:52" x14ac:dyDescent="0.4">
      <c r="C14" s="15"/>
      <c r="E14" s="5" t="s">
        <v>11</v>
      </c>
      <c r="F14" s="14">
        <v>8.9999999999999993E-3</v>
      </c>
      <c r="G14" s="5" t="s">
        <v>52</v>
      </c>
      <c r="I14" s="21" t="s">
        <v>8</v>
      </c>
      <c r="J14" s="22">
        <f>+J10*$F$12</f>
        <v>1</v>
      </c>
      <c r="K14" s="22">
        <f t="shared" ref="K14:U14" si="16">+K10*$F$12</f>
        <v>1</v>
      </c>
      <c r="L14" s="22">
        <f t="shared" si="16"/>
        <v>1</v>
      </c>
      <c r="M14" s="22">
        <f t="shared" si="16"/>
        <v>1</v>
      </c>
      <c r="N14" s="22">
        <f t="shared" si="16"/>
        <v>1</v>
      </c>
      <c r="O14" s="22">
        <f t="shared" si="16"/>
        <v>1</v>
      </c>
      <c r="P14" s="22">
        <f t="shared" si="16"/>
        <v>1</v>
      </c>
      <c r="Q14" s="22">
        <f t="shared" si="16"/>
        <v>1</v>
      </c>
      <c r="R14" s="22">
        <f t="shared" si="16"/>
        <v>1</v>
      </c>
      <c r="S14" s="22">
        <f t="shared" si="16"/>
        <v>1</v>
      </c>
      <c r="T14" s="22">
        <f t="shared" si="16"/>
        <v>1</v>
      </c>
      <c r="U14" s="22">
        <f t="shared" si="16"/>
        <v>1</v>
      </c>
      <c r="V14" s="22">
        <f t="shared" si="10"/>
        <v>12</v>
      </c>
      <c r="X14" s="21" t="s">
        <v>8</v>
      </c>
      <c r="Y14" s="22">
        <f>+Y10*$F$12</f>
        <v>2</v>
      </c>
      <c r="Z14" s="22">
        <f t="shared" ref="Z14:AJ14" si="17">+Z10*$F$12</f>
        <v>2</v>
      </c>
      <c r="AA14" s="22">
        <f t="shared" si="17"/>
        <v>2</v>
      </c>
      <c r="AB14" s="22">
        <f t="shared" si="17"/>
        <v>2</v>
      </c>
      <c r="AC14" s="22">
        <f t="shared" si="17"/>
        <v>2</v>
      </c>
      <c r="AD14" s="22">
        <f t="shared" si="17"/>
        <v>2</v>
      </c>
      <c r="AE14" s="22">
        <f t="shared" si="17"/>
        <v>2</v>
      </c>
      <c r="AF14" s="22">
        <f t="shared" si="17"/>
        <v>2</v>
      </c>
      <c r="AG14" s="22">
        <f t="shared" si="17"/>
        <v>2</v>
      </c>
      <c r="AH14" s="22">
        <f t="shared" si="17"/>
        <v>2</v>
      </c>
      <c r="AI14" s="22">
        <f t="shared" si="17"/>
        <v>2</v>
      </c>
      <c r="AJ14" s="22">
        <f t="shared" si="17"/>
        <v>2</v>
      </c>
      <c r="AK14" s="22">
        <f t="shared" si="6"/>
        <v>24</v>
      </c>
      <c r="AL14" s="3"/>
      <c r="AM14" s="21" t="s">
        <v>8</v>
      </c>
      <c r="AN14" s="22">
        <f>+AN10*$F$12</f>
        <v>3.5</v>
      </c>
      <c r="AO14" s="22">
        <f t="shared" ref="AO14:AX14" si="18">+AO10*$F$12</f>
        <v>3.5</v>
      </c>
      <c r="AP14" s="22">
        <f t="shared" si="18"/>
        <v>3.5</v>
      </c>
      <c r="AQ14" s="22">
        <f t="shared" si="18"/>
        <v>3.5</v>
      </c>
      <c r="AR14" s="22">
        <f t="shared" si="18"/>
        <v>3.5</v>
      </c>
      <c r="AS14" s="22">
        <f t="shared" si="18"/>
        <v>3.5</v>
      </c>
      <c r="AT14" s="22">
        <f t="shared" si="18"/>
        <v>3.5</v>
      </c>
      <c r="AU14" s="22">
        <f t="shared" si="18"/>
        <v>3.5</v>
      </c>
      <c r="AV14" s="22">
        <f t="shared" si="18"/>
        <v>3.5</v>
      </c>
      <c r="AW14" s="22">
        <f t="shared" si="18"/>
        <v>3.5</v>
      </c>
      <c r="AX14" s="22">
        <f t="shared" si="18"/>
        <v>3.5</v>
      </c>
      <c r="AY14" s="22">
        <f>+AY10*$F$12</f>
        <v>3.5</v>
      </c>
      <c r="AZ14" s="22">
        <f t="shared" si="8"/>
        <v>42</v>
      </c>
    </row>
    <row r="15" spans="2:52" x14ac:dyDescent="0.4">
      <c r="C15" s="15"/>
      <c r="F15" s="18"/>
      <c r="I15" s="21" t="s">
        <v>9</v>
      </c>
      <c r="J15" s="22">
        <f>+J11*$F$13</f>
        <v>0.60000000000000009</v>
      </c>
      <c r="K15" s="22">
        <f t="shared" ref="K15:T15" si="19">+K11*$F$13</f>
        <v>0.60000000000000009</v>
      </c>
      <c r="L15" s="22">
        <f t="shared" si="19"/>
        <v>0.60000000000000009</v>
      </c>
      <c r="M15" s="22">
        <f t="shared" si="19"/>
        <v>0.60000000000000009</v>
      </c>
      <c r="N15" s="22">
        <f t="shared" si="19"/>
        <v>0.60000000000000009</v>
      </c>
      <c r="O15" s="22">
        <f t="shared" si="19"/>
        <v>0.60000000000000009</v>
      </c>
      <c r="P15" s="22">
        <f t="shared" si="19"/>
        <v>0.60000000000000009</v>
      </c>
      <c r="Q15" s="22">
        <f t="shared" si="19"/>
        <v>0.60000000000000009</v>
      </c>
      <c r="R15" s="22">
        <f t="shared" si="19"/>
        <v>0.60000000000000009</v>
      </c>
      <c r="S15" s="22">
        <f t="shared" si="19"/>
        <v>0.60000000000000009</v>
      </c>
      <c r="T15" s="22">
        <f t="shared" si="19"/>
        <v>0.60000000000000009</v>
      </c>
      <c r="U15" s="22">
        <f>+U11*$F$13</f>
        <v>0.60000000000000009</v>
      </c>
      <c r="V15" s="22">
        <f t="shared" si="10"/>
        <v>7.1999999999999993</v>
      </c>
      <c r="X15" s="21" t="s">
        <v>9</v>
      </c>
      <c r="Y15" s="22">
        <f>+Y11*$F$13</f>
        <v>1.2000000000000002</v>
      </c>
      <c r="Z15" s="22">
        <f t="shared" ref="Z15:AJ15" si="20">+Z11*$F$13</f>
        <v>1.2000000000000002</v>
      </c>
      <c r="AA15" s="22">
        <f t="shared" si="20"/>
        <v>1.2000000000000002</v>
      </c>
      <c r="AB15" s="22">
        <f t="shared" si="20"/>
        <v>1.2000000000000002</v>
      </c>
      <c r="AC15" s="22">
        <f t="shared" si="20"/>
        <v>1.2000000000000002</v>
      </c>
      <c r="AD15" s="22">
        <f t="shared" si="20"/>
        <v>1.2000000000000002</v>
      </c>
      <c r="AE15" s="22">
        <f t="shared" si="20"/>
        <v>1.2000000000000002</v>
      </c>
      <c r="AF15" s="22">
        <f t="shared" si="20"/>
        <v>1.2000000000000002</v>
      </c>
      <c r="AG15" s="22">
        <f t="shared" si="20"/>
        <v>1.2000000000000002</v>
      </c>
      <c r="AH15" s="22">
        <f t="shared" si="20"/>
        <v>1.2000000000000002</v>
      </c>
      <c r="AI15" s="22">
        <f t="shared" si="20"/>
        <v>1.2000000000000002</v>
      </c>
      <c r="AJ15" s="22">
        <f t="shared" si="20"/>
        <v>1.2000000000000002</v>
      </c>
      <c r="AK15" s="22">
        <f t="shared" si="6"/>
        <v>14.399999999999999</v>
      </c>
      <c r="AL15" s="3"/>
      <c r="AM15" s="21" t="s">
        <v>9</v>
      </c>
      <c r="AN15" s="22">
        <f>+AN11*$F$13</f>
        <v>2.1</v>
      </c>
      <c r="AO15" s="22">
        <f t="shared" ref="AO15:AY15" si="21">+AO11*$F$13</f>
        <v>2.1</v>
      </c>
      <c r="AP15" s="22">
        <f t="shared" si="21"/>
        <v>2.1</v>
      </c>
      <c r="AQ15" s="22">
        <f t="shared" si="21"/>
        <v>2.1</v>
      </c>
      <c r="AR15" s="22">
        <f t="shared" si="21"/>
        <v>2.1</v>
      </c>
      <c r="AS15" s="22">
        <f t="shared" si="21"/>
        <v>2.1</v>
      </c>
      <c r="AT15" s="22">
        <f t="shared" si="21"/>
        <v>2.1</v>
      </c>
      <c r="AU15" s="22">
        <f t="shared" si="21"/>
        <v>2.1</v>
      </c>
      <c r="AV15" s="22">
        <f t="shared" si="21"/>
        <v>2.1</v>
      </c>
      <c r="AW15" s="22">
        <f t="shared" si="21"/>
        <v>2.1</v>
      </c>
      <c r="AX15" s="22">
        <f t="shared" si="21"/>
        <v>2.1</v>
      </c>
      <c r="AY15" s="22">
        <f t="shared" si="21"/>
        <v>2.1</v>
      </c>
      <c r="AZ15" s="22">
        <f t="shared" si="8"/>
        <v>25.200000000000006</v>
      </c>
    </row>
    <row r="16" spans="2:52" x14ac:dyDescent="0.4">
      <c r="C16" s="15"/>
      <c r="I16" s="21" t="s">
        <v>11</v>
      </c>
      <c r="J16" s="22">
        <f>+J11*$F$14/J8</f>
        <v>0.02</v>
      </c>
      <c r="K16" s="22">
        <f>+J16+((K11*$F$14)/K8)</f>
        <v>0.04</v>
      </c>
      <c r="L16" s="22">
        <f t="shared" ref="L16:U16" si="22">+K16+((L11*$F$14)/L8)</f>
        <v>0.06</v>
      </c>
      <c r="M16" s="22">
        <f t="shared" si="22"/>
        <v>0.08</v>
      </c>
      <c r="N16" s="22">
        <f t="shared" si="22"/>
        <v>0.1</v>
      </c>
      <c r="O16" s="22">
        <f t="shared" si="22"/>
        <v>0.12000000000000001</v>
      </c>
      <c r="P16" s="22">
        <f t="shared" si="22"/>
        <v>0.14000000000000001</v>
      </c>
      <c r="Q16" s="22">
        <f t="shared" si="22"/>
        <v>0.16</v>
      </c>
      <c r="R16" s="22">
        <f t="shared" si="22"/>
        <v>0.18</v>
      </c>
      <c r="S16" s="22">
        <f t="shared" si="22"/>
        <v>0.19999999999999998</v>
      </c>
      <c r="T16" s="22">
        <f t="shared" si="22"/>
        <v>0.21999999999999997</v>
      </c>
      <c r="U16" s="22">
        <f t="shared" si="22"/>
        <v>0.23999999999999996</v>
      </c>
      <c r="V16" s="22">
        <f t="shared" si="10"/>
        <v>1.56</v>
      </c>
      <c r="X16" s="21" t="s">
        <v>11</v>
      </c>
      <c r="Y16" s="21">
        <f>+U16+(Y11*($F$14/Y8))</f>
        <v>0.27999999999999997</v>
      </c>
      <c r="Z16" s="21">
        <f>+Y16+(Z11*($F$14/12))</f>
        <v>0.31999999999999995</v>
      </c>
      <c r="AA16" s="21">
        <f t="shared" ref="AA16:AJ16" si="23">+Z16+(AA11*($F$14/12))</f>
        <v>0.35999999999999993</v>
      </c>
      <c r="AB16" s="21">
        <f t="shared" si="23"/>
        <v>0.39999999999999991</v>
      </c>
      <c r="AC16" s="21">
        <f t="shared" si="23"/>
        <v>0.43999999999999989</v>
      </c>
      <c r="AD16" s="21">
        <f t="shared" si="23"/>
        <v>0.47999999999999987</v>
      </c>
      <c r="AE16" s="21">
        <f t="shared" si="23"/>
        <v>0.51999999999999991</v>
      </c>
      <c r="AF16" s="21">
        <f t="shared" si="23"/>
        <v>0.55999999999999994</v>
      </c>
      <c r="AG16" s="21">
        <f t="shared" si="23"/>
        <v>0.6</v>
      </c>
      <c r="AH16" s="21">
        <f t="shared" si="23"/>
        <v>0.64</v>
      </c>
      <c r="AI16" s="21">
        <f t="shared" si="23"/>
        <v>0.68</v>
      </c>
      <c r="AJ16" s="21">
        <f t="shared" si="23"/>
        <v>0.72000000000000008</v>
      </c>
      <c r="AK16" s="22">
        <f t="shared" si="6"/>
        <v>5.9999999999999991</v>
      </c>
      <c r="AL16" s="3"/>
      <c r="AM16" s="21" t="s">
        <v>11</v>
      </c>
      <c r="AN16" s="21">
        <f>+(AN11*$F$14/12)+AJ16</f>
        <v>0.79</v>
      </c>
      <c r="AO16" s="22">
        <f>+AN16+(AO11*$F$14/12)</f>
        <v>0.86</v>
      </c>
      <c r="AP16" s="22">
        <f t="shared" ref="AP16:AY16" si="24">+AO16+(AP11*$F$14/12)</f>
        <v>0.92999999999999994</v>
      </c>
      <c r="AQ16" s="22">
        <f t="shared" si="24"/>
        <v>0.99999999999999989</v>
      </c>
      <c r="AR16" s="22">
        <f t="shared" si="24"/>
        <v>1.0699999999999998</v>
      </c>
      <c r="AS16" s="22">
        <f t="shared" si="24"/>
        <v>1.1399999999999999</v>
      </c>
      <c r="AT16" s="22">
        <f t="shared" si="24"/>
        <v>1.21</v>
      </c>
      <c r="AU16" s="22">
        <f t="shared" si="24"/>
        <v>1.28</v>
      </c>
      <c r="AV16" s="22">
        <f t="shared" si="24"/>
        <v>1.35</v>
      </c>
      <c r="AW16" s="22">
        <f t="shared" si="24"/>
        <v>1.4200000000000002</v>
      </c>
      <c r="AX16" s="22">
        <f t="shared" si="24"/>
        <v>1.4900000000000002</v>
      </c>
      <c r="AY16" s="22">
        <f t="shared" si="24"/>
        <v>1.5600000000000003</v>
      </c>
      <c r="AZ16" s="22">
        <f t="shared" si="8"/>
        <v>14.1</v>
      </c>
    </row>
    <row r="17" spans="2:52" x14ac:dyDescent="0.4">
      <c r="I17" s="21" t="s">
        <v>48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f t="shared" si="10"/>
        <v>0</v>
      </c>
      <c r="X17" s="21" t="s">
        <v>48</v>
      </c>
      <c r="Y17" s="21">
        <v>0.01</v>
      </c>
      <c r="Z17" s="22">
        <f>+Y17+0.01</f>
        <v>0.02</v>
      </c>
      <c r="AA17" s="22">
        <f t="shared" ref="AA17:AJ17" si="25">+Z17+0.01</f>
        <v>0.03</v>
      </c>
      <c r="AB17" s="22">
        <f t="shared" si="25"/>
        <v>0.04</v>
      </c>
      <c r="AC17" s="22">
        <f t="shared" si="25"/>
        <v>0.05</v>
      </c>
      <c r="AD17" s="22">
        <f t="shared" si="25"/>
        <v>6.0000000000000005E-2</v>
      </c>
      <c r="AE17" s="22">
        <f t="shared" si="25"/>
        <v>7.0000000000000007E-2</v>
      </c>
      <c r="AF17" s="22">
        <f t="shared" si="25"/>
        <v>0.08</v>
      </c>
      <c r="AG17" s="22">
        <f t="shared" si="25"/>
        <v>0.09</v>
      </c>
      <c r="AH17" s="22">
        <f t="shared" si="25"/>
        <v>9.9999999999999992E-2</v>
      </c>
      <c r="AI17" s="22">
        <f t="shared" si="25"/>
        <v>0.10999999999999999</v>
      </c>
      <c r="AJ17" s="22">
        <f t="shared" si="25"/>
        <v>0.11999999999999998</v>
      </c>
      <c r="AK17" s="22">
        <f t="shared" si="6"/>
        <v>0.78</v>
      </c>
      <c r="AL17" s="3"/>
      <c r="AM17" s="21" t="s">
        <v>48</v>
      </c>
      <c r="AN17" s="22">
        <f>+AJ17+0.03</f>
        <v>0.14999999999999997</v>
      </c>
      <c r="AO17" s="22">
        <f>+AN17+0.03</f>
        <v>0.17999999999999997</v>
      </c>
      <c r="AP17" s="22">
        <f t="shared" ref="AP17:AY17" si="26">+AO17+0.03</f>
        <v>0.20999999999999996</v>
      </c>
      <c r="AQ17" s="22">
        <f t="shared" si="26"/>
        <v>0.23999999999999996</v>
      </c>
      <c r="AR17" s="22">
        <f t="shared" si="26"/>
        <v>0.26999999999999996</v>
      </c>
      <c r="AS17" s="22">
        <f t="shared" si="26"/>
        <v>0.29999999999999993</v>
      </c>
      <c r="AT17" s="22">
        <f t="shared" si="26"/>
        <v>0.32999999999999996</v>
      </c>
      <c r="AU17" s="22">
        <f t="shared" si="26"/>
        <v>0.36</v>
      </c>
      <c r="AV17" s="22">
        <f t="shared" si="26"/>
        <v>0.39</v>
      </c>
      <c r="AW17" s="22">
        <f t="shared" si="26"/>
        <v>0.42000000000000004</v>
      </c>
      <c r="AX17" s="22">
        <f t="shared" si="26"/>
        <v>0.45000000000000007</v>
      </c>
      <c r="AY17" s="22">
        <f t="shared" si="26"/>
        <v>0.48000000000000009</v>
      </c>
      <c r="AZ17" s="22">
        <f t="shared" si="8"/>
        <v>3.78</v>
      </c>
    </row>
    <row r="18" spans="2:52" x14ac:dyDescent="0.4">
      <c r="I18" s="21" t="s">
        <v>18</v>
      </c>
      <c r="J18" s="22">
        <v>8.3333333333333329E-2</v>
      </c>
      <c r="K18" s="22">
        <f>+J18</f>
        <v>8.3333333333333329E-2</v>
      </c>
      <c r="L18" s="22">
        <f t="shared" ref="L18:U18" si="27">+K18</f>
        <v>8.3333333333333329E-2</v>
      </c>
      <c r="M18" s="22">
        <f t="shared" si="27"/>
        <v>8.3333333333333329E-2</v>
      </c>
      <c r="N18" s="22">
        <f t="shared" si="27"/>
        <v>8.3333333333333329E-2</v>
      </c>
      <c r="O18" s="22">
        <f t="shared" si="27"/>
        <v>8.3333333333333329E-2</v>
      </c>
      <c r="P18" s="22">
        <f t="shared" si="27"/>
        <v>8.3333333333333329E-2</v>
      </c>
      <c r="Q18" s="22">
        <f t="shared" si="27"/>
        <v>8.3333333333333329E-2</v>
      </c>
      <c r="R18" s="22">
        <f t="shared" si="27"/>
        <v>8.3333333333333329E-2</v>
      </c>
      <c r="S18" s="22">
        <f t="shared" si="27"/>
        <v>8.3333333333333329E-2</v>
      </c>
      <c r="T18" s="22">
        <f t="shared" si="27"/>
        <v>8.3333333333333329E-2</v>
      </c>
      <c r="U18" s="22">
        <f t="shared" si="27"/>
        <v>8.3333333333333329E-2</v>
      </c>
      <c r="V18" s="22">
        <f t="shared" si="10"/>
        <v>1</v>
      </c>
      <c r="X18" s="21" t="str">
        <f>+I18</f>
        <v>รายได้อื่น</v>
      </c>
      <c r="Y18" s="22">
        <f>+J18</f>
        <v>8.3333333333333329E-2</v>
      </c>
      <c r="Z18" s="22">
        <f t="shared" ref="Z18:AJ18" si="28">+K18</f>
        <v>8.3333333333333329E-2</v>
      </c>
      <c r="AA18" s="22">
        <f t="shared" si="28"/>
        <v>8.3333333333333329E-2</v>
      </c>
      <c r="AB18" s="22">
        <f t="shared" si="28"/>
        <v>8.3333333333333329E-2</v>
      </c>
      <c r="AC18" s="22">
        <f t="shared" si="28"/>
        <v>8.3333333333333329E-2</v>
      </c>
      <c r="AD18" s="22">
        <f t="shared" si="28"/>
        <v>8.3333333333333329E-2</v>
      </c>
      <c r="AE18" s="22">
        <f t="shared" si="28"/>
        <v>8.3333333333333329E-2</v>
      </c>
      <c r="AF18" s="22">
        <f t="shared" si="28"/>
        <v>8.3333333333333329E-2</v>
      </c>
      <c r="AG18" s="22">
        <f t="shared" si="28"/>
        <v>8.3333333333333329E-2</v>
      </c>
      <c r="AH18" s="22">
        <f t="shared" si="28"/>
        <v>8.3333333333333329E-2</v>
      </c>
      <c r="AI18" s="22">
        <f t="shared" si="28"/>
        <v>8.3333333333333329E-2</v>
      </c>
      <c r="AJ18" s="22">
        <f t="shared" si="28"/>
        <v>8.3333333333333329E-2</v>
      </c>
      <c r="AK18" s="22">
        <f t="shared" si="6"/>
        <v>1</v>
      </c>
      <c r="AL18" s="3"/>
      <c r="AM18" s="21" t="str">
        <f>+X18</f>
        <v>รายได้อื่น</v>
      </c>
      <c r="AN18" s="22">
        <f>+Y18</f>
        <v>8.3333333333333329E-2</v>
      </c>
      <c r="AO18" s="22">
        <f t="shared" ref="AO18:AY18" si="29">+Z18</f>
        <v>8.3333333333333329E-2</v>
      </c>
      <c r="AP18" s="22">
        <f t="shared" si="29"/>
        <v>8.3333333333333329E-2</v>
      </c>
      <c r="AQ18" s="22">
        <f t="shared" si="29"/>
        <v>8.3333333333333329E-2</v>
      </c>
      <c r="AR18" s="22">
        <f t="shared" si="29"/>
        <v>8.3333333333333329E-2</v>
      </c>
      <c r="AS18" s="22">
        <f t="shared" si="29"/>
        <v>8.3333333333333329E-2</v>
      </c>
      <c r="AT18" s="22">
        <f t="shared" si="29"/>
        <v>8.3333333333333329E-2</v>
      </c>
      <c r="AU18" s="22">
        <f t="shared" si="29"/>
        <v>8.3333333333333329E-2</v>
      </c>
      <c r="AV18" s="22">
        <f t="shared" si="29"/>
        <v>8.3333333333333329E-2</v>
      </c>
      <c r="AW18" s="22">
        <f t="shared" si="29"/>
        <v>8.3333333333333329E-2</v>
      </c>
      <c r="AX18" s="22">
        <f t="shared" si="29"/>
        <v>8.3333333333333329E-2</v>
      </c>
      <c r="AY18" s="22">
        <f t="shared" si="29"/>
        <v>8.3333333333333329E-2</v>
      </c>
      <c r="AZ18" s="22">
        <f t="shared" si="8"/>
        <v>1</v>
      </c>
    </row>
    <row r="19" spans="2:52" x14ac:dyDescent="0.4">
      <c r="I19" s="5" t="s">
        <v>20</v>
      </c>
      <c r="J19" s="4">
        <f>SUM(J13:J18)</f>
        <v>1.7533333333333334</v>
      </c>
      <c r="K19" s="4">
        <f t="shared" ref="K19:U19" si="30">SUM(K13:K18)</f>
        <v>1.8233333333333335</v>
      </c>
      <c r="L19" s="4">
        <f t="shared" si="30"/>
        <v>1.8933333333333333</v>
      </c>
      <c r="M19" s="4">
        <f t="shared" si="30"/>
        <v>1.9633333333333334</v>
      </c>
      <c r="N19" s="4">
        <f t="shared" si="30"/>
        <v>2.0333333333333337</v>
      </c>
      <c r="O19" s="4">
        <f t="shared" si="30"/>
        <v>2.1033333333333335</v>
      </c>
      <c r="P19" s="4">
        <f t="shared" si="30"/>
        <v>2.1733333333333338</v>
      </c>
      <c r="Q19" s="4">
        <f t="shared" si="30"/>
        <v>2.2433333333333336</v>
      </c>
      <c r="R19" s="4">
        <f t="shared" si="30"/>
        <v>2.3133333333333335</v>
      </c>
      <c r="S19" s="4">
        <f t="shared" si="30"/>
        <v>2.3833333333333337</v>
      </c>
      <c r="T19" s="4">
        <f t="shared" si="30"/>
        <v>2.4533333333333336</v>
      </c>
      <c r="U19" s="4">
        <f t="shared" si="30"/>
        <v>2.5233333333333334</v>
      </c>
      <c r="V19" s="4">
        <f t="shared" si="10"/>
        <v>25.66</v>
      </c>
      <c r="X19" s="5" t="s">
        <v>20</v>
      </c>
      <c r="Y19" s="4">
        <f>SUM(Y13:Y18)</f>
        <v>4.2733333333333334</v>
      </c>
      <c r="Z19" s="4">
        <f t="shared" ref="Z19:AJ19" si="31">SUM(Z13:Z18)</f>
        <v>4.4233333333333329</v>
      </c>
      <c r="AA19" s="4">
        <f t="shared" si="31"/>
        <v>4.5733333333333333</v>
      </c>
      <c r="AB19" s="4">
        <f t="shared" si="31"/>
        <v>4.7233333333333327</v>
      </c>
      <c r="AC19" s="4">
        <f t="shared" si="31"/>
        <v>4.8733333333333331</v>
      </c>
      <c r="AD19" s="4">
        <f t="shared" si="31"/>
        <v>5.0233333333333325</v>
      </c>
      <c r="AE19" s="4">
        <f t="shared" si="31"/>
        <v>5.1733333333333329</v>
      </c>
      <c r="AF19" s="4">
        <f t="shared" si="31"/>
        <v>5.3233333333333333</v>
      </c>
      <c r="AG19" s="4">
        <f t="shared" si="31"/>
        <v>5.4733333333333336</v>
      </c>
      <c r="AH19" s="4">
        <f t="shared" si="31"/>
        <v>5.6233333333333331</v>
      </c>
      <c r="AI19" s="4">
        <f t="shared" si="31"/>
        <v>5.7733333333333334</v>
      </c>
      <c r="AJ19" s="4">
        <f t="shared" si="31"/>
        <v>5.9233333333333338</v>
      </c>
      <c r="AK19" s="4">
        <f t="shared" si="6"/>
        <v>61.18</v>
      </c>
      <c r="AL19" s="3"/>
      <c r="AM19" s="5" t="s">
        <v>20</v>
      </c>
      <c r="AN19" s="4">
        <f>SUM(AN13:AN18)</f>
        <v>8.5983333333333363</v>
      </c>
      <c r="AO19" s="4">
        <f t="shared" ref="AO19:AY19" si="32">SUM(AO13:AO18)</f>
        <v>8.8733333333333331</v>
      </c>
      <c r="AP19" s="4">
        <f t="shared" si="32"/>
        <v>9.1483333333333352</v>
      </c>
      <c r="AQ19" s="4">
        <f t="shared" si="32"/>
        <v>9.4233333333333338</v>
      </c>
      <c r="AR19" s="4">
        <f t="shared" si="32"/>
        <v>9.6983333333333341</v>
      </c>
      <c r="AS19" s="4">
        <f>SUM(AS13:AS18)</f>
        <v>9.9733333333333345</v>
      </c>
      <c r="AT19" s="4">
        <f t="shared" si="32"/>
        <v>10.248333333333335</v>
      </c>
      <c r="AU19" s="4">
        <f t="shared" si="32"/>
        <v>10.523333333333332</v>
      </c>
      <c r="AV19" s="4">
        <f t="shared" si="32"/>
        <v>10.798333333333334</v>
      </c>
      <c r="AW19" s="4">
        <f t="shared" si="32"/>
        <v>11.073333333333332</v>
      </c>
      <c r="AX19" s="4">
        <f t="shared" si="32"/>
        <v>11.348333333333333</v>
      </c>
      <c r="AY19" s="4">
        <f t="shared" si="32"/>
        <v>11.623333333333333</v>
      </c>
      <c r="AZ19" s="4">
        <f t="shared" si="8"/>
        <v>121.33</v>
      </c>
    </row>
    <row r="20" spans="2:52" x14ac:dyDescent="0.4">
      <c r="AZ20" s="3"/>
    </row>
    <row r="21" spans="2:52" x14ac:dyDescent="0.4">
      <c r="B21" s="1" t="s">
        <v>61</v>
      </c>
    </row>
    <row r="22" spans="2:52" ht="21" x14ac:dyDescent="0.45">
      <c r="B22" s="2" t="s">
        <v>21</v>
      </c>
      <c r="C22" s="2">
        <v>2024</v>
      </c>
      <c r="D22" s="2">
        <v>2025</v>
      </c>
      <c r="E22" s="2">
        <v>2026</v>
      </c>
      <c r="F22" s="2">
        <v>2027</v>
      </c>
    </row>
    <row r="23" spans="2:52" x14ac:dyDescent="0.4">
      <c r="B23" s="5" t="s">
        <v>22</v>
      </c>
      <c r="C23" s="6">
        <v>15</v>
      </c>
      <c r="D23" s="6">
        <v>18</v>
      </c>
      <c r="E23" s="6">
        <v>19</v>
      </c>
      <c r="F23" s="6">
        <v>20</v>
      </c>
    </row>
    <row r="24" spans="2:52" x14ac:dyDescent="0.4">
      <c r="B24" s="5" t="s">
        <v>24</v>
      </c>
      <c r="C24" s="7">
        <v>4.4999999999999998E-2</v>
      </c>
      <c r="D24" s="8">
        <f>+C24</f>
        <v>4.4999999999999998E-2</v>
      </c>
      <c r="E24" s="8">
        <f t="shared" ref="E24:F24" si="33">+D24</f>
        <v>4.4999999999999998E-2</v>
      </c>
      <c r="F24" s="8">
        <f t="shared" si="33"/>
        <v>4.4999999999999998E-2</v>
      </c>
    </row>
    <row r="25" spans="2:52" x14ac:dyDescent="0.4">
      <c r="B25" s="5" t="s">
        <v>26</v>
      </c>
      <c r="C25" s="9">
        <v>8.1716185199999991</v>
      </c>
      <c r="D25" s="9">
        <f>+D26*D23</f>
        <v>10.247209624079998</v>
      </c>
      <c r="E25" s="9">
        <f t="shared" ref="E25:F25" si="34">+E26*E23</f>
        <v>11.303241504783797</v>
      </c>
      <c r="F25" s="9">
        <f t="shared" si="34"/>
        <v>12.433565655262175</v>
      </c>
    </row>
    <row r="26" spans="2:52" x14ac:dyDescent="0.4">
      <c r="B26" s="5" t="s">
        <v>28</v>
      </c>
      <c r="C26" s="9">
        <f>+C25/C23</f>
        <v>0.5447745679999999</v>
      </c>
      <c r="D26" s="9">
        <f>+C26*(1+D24)</f>
        <v>0.5692894235599999</v>
      </c>
      <c r="E26" s="9">
        <f>+D26*(1+E24)</f>
        <v>0.59490744762019987</v>
      </c>
      <c r="F26" s="9">
        <f t="shared" ref="F26" si="35">+E26*(1+F24)</f>
        <v>0.62167828276310877</v>
      </c>
    </row>
    <row r="27" spans="2:52" x14ac:dyDescent="0.4">
      <c r="B27" s="5" t="s">
        <v>30</v>
      </c>
      <c r="C27" s="10">
        <v>4.0877227800000027</v>
      </c>
      <c r="D27" s="9">
        <f>+C27*(1+D24)</f>
        <v>4.2716703051000025</v>
      </c>
      <c r="E27" s="9">
        <f>+D27*(1+E24)</f>
        <v>4.4638954688295023</v>
      </c>
      <c r="F27" s="9">
        <f t="shared" ref="F27" si="36">+E27*(1+F24)</f>
        <v>4.6647707649268293</v>
      </c>
    </row>
    <row r="29" spans="2:52" x14ac:dyDescent="0.4">
      <c r="B29" s="1" t="s">
        <v>62</v>
      </c>
    </row>
    <row r="30" spans="2:52" ht="21" x14ac:dyDescent="0.45">
      <c r="B30" s="2" t="s">
        <v>21</v>
      </c>
      <c r="C30" s="2">
        <v>2024</v>
      </c>
      <c r="D30" s="2">
        <v>2025</v>
      </c>
      <c r="E30" s="2">
        <v>2026</v>
      </c>
      <c r="F30" s="2">
        <v>2027</v>
      </c>
    </row>
    <row r="31" spans="2:52" x14ac:dyDescent="0.4">
      <c r="B31" s="5" t="s">
        <v>63</v>
      </c>
      <c r="C31" s="5"/>
      <c r="D31" s="8">
        <v>7.0000000000000007E-2</v>
      </c>
      <c r="E31" s="8">
        <v>7.0000000000000007E-2</v>
      </c>
      <c r="F31" s="8">
        <v>7.0000000000000007E-2</v>
      </c>
    </row>
    <row r="32" spans="2:52" x14ac:dyDescent="0.4">
      <c r="C32" s="1" t="s">
        <v>64</v>
      </c>
    </row>
  </sheetData>
  <pageMargins left="0.7" right="0.7" top="0.75" bottom="0.75" header="0.3" footer="0.3"/>
  <ignoredErrors>
    <ignoredError sqref="K11:V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ประมาณการรายได้ 2024-27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Chonticha Chaisakwattana</dc:creator>
  <cp:lastModifiedBy>Agile Assets</cp:lastModifiedBy>
  <dcterms:created xsi:type="dcterms:W3CDTF">2025-06-20T09:17:26Z</dcterms:created>
  <dcterms:modified xsi:type="dcterms:W3CDTF">2025-06-24T04:25:56Z</dcterms:modified>
</cp:coreProperties>
</file>